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674\Desktop\"/>
    </mc:Choice>
  </mc:AlternateContent>
  <xr:revisionPtr revIDLastSave="0" documentId="8_{61876CFB-334B-4448-9083-EA27B0764207}" xr6:coauthVersionLast="47" xr6:coauthVersionMax="47" xr10:uidLastSave="{00000000-0000-0000-0000-000000000000}"/>
  <bookViews>
    <workbookView xWindow="-110" yWindow="-110" windowWidth="19420" windowHeight="10420" firstSheet="1" activeTab="2" xr2:uid="{00000000-000D-0000-FFFF-FFFF00000000}"/>
  </bookViews>
  <sheets>
    <sheet name="leden-srpen 2021" sheetId="1" r:id="rId1"/>
    <sheet name="rok 2021_2022" sheetId="2" r:id="rId2"/>
    <sheet name="rok 2022_2023 " sheetId="5" r:id="rId3"/>
    <sheet name="rok 2023_2024" sheetId="3" r:id="rId4"/>
    <sheet name="rok 2024_2025" sheetId="4" r:id="rId5"/>
  </sheets>
  <definedNames>
    <definedName name="_xlnm._FilterDatabase" localSheetId="0" hidden="1">'leden-srpen 2021'!$A$3:$I$23</definedName>
    <definedName name="Z_A687C76D_0A25_4B23_B774_83E5858950A5_.wvu.FilterData" localSheetId="0" hidden="1">'leden-srpen 2021'!$A$3:$I$23</definedName>
    <definedName name="Z_C95316B6_A37E_4534_B810_A6A18951EFBB_.wvu.FilterData" localSheetId="0" hidden="1">'leden-srpen 2021'!$A$3:$I$23</definedName>
    <definedName name="Z_EE87481B_D9DE_4AE9_91B4_0C77BAFFD3EF_.wvu.Cols" localSheetId="1" hidden="1">'rok 2021_2022'!$A:$B</definedName>
    <definedName name="Z_EE87481B_D9DE_4AE9_91B4_0C77BAFFD3EF_.wvu.Cols" localSheetId="2" hidden="1">'rok 2022_2023 '!$A:$B</definedName>
  </definedNames>
  <calcPr calcId="191029"/>
  <customWorkbookViews>
    <customWorkbookView name="Pražáková Markéta – osobní zobrazení" guid="{A687C76D-0A25-4B23-B774-83E5858950A5}" mergeInterval="0" personalView="1" xWindow="959" yWindow="-1" windowWidth="962" windowHeight="1034" activeSheetId="1"/>
    <customWorkbookView name="Neumannová Věra – osobní zobrazení" guid="{C95316B6-A37E-4534-B810-A6A18951EFBB}" mergeInterval="0" personalView="1" xWindow="58" yWindow="3" windowWidth="865" windowHeight="1040" activeSheetId="2"/>
    <customWorkbookView name="Pilařová Ludmila Ing. – osobní zobrazení" guid="{EE87481B-D9DE-4AE9-91B4-0C77BAFFD3EF}" mergeInterval="0" personalView="1" maximized="1" xWindow="-9" yWindow="-9" windowWidth="1938" windowHeight="1048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5" i="5" l="1"/>
  <c r="R84" i="5"/>
  <c r="R83" i="5"/>
  <c r="R82" i="5"/>
  <c r="R80" i="5"/>
  <c r="R73" i="5"/>
  <c r="R71" i="5"/>
  <c r="R70" i="5"/>
  <c r="R69" i="5"/>
  <c r="R66" i="5"/>
  <c r="R65" i="5"/>
  <c r="R64" i="5"/>
  <c r="R63" i="5"/>
  <c r="R59" i="5"/>
  <c r="R56" i="5"/>
  <c r="R54" i="5"/>
  <c r="R53" i="5"/>
  <c r="R52" i="5"/>
  <c r="R50" i="5"/>
  <c r="R47" i="5"/>
  <c r="R41" i="5"/>
  <c r="D35" i="5"/>
  <c r="G35" i="5"/>
  <c r="F35" i="5"/>
  <c r="F38" i="5"/>
  <c r="E38" i="5"/>
  <c r="I44" i="5"/>
  <c r="G44" i="5"/>
  <c r="F44" i="5"/>
  <c r="D44" i="5"/>
  <c r="I45" i="5"/>
  <c r="G45" i="5"/>
  <c r="F45" i="5"/>
  <c r="D45" i="5"/>
  <c r="F77" i="5"/>
  <c r="E77" i="5"/>
  <c r="H77" i="5"/>
  <c r="G90" i="5" l="1"/>
  <c r="I90" i="5"/>
  <c r="F90" i="5"/>
  <c r="D90" i="5"/>
  <c r="H86" i="5" l="1"/>
  <c r="R86" i="5" s="1"/>
  <c r="E86" i="5"/>
  <c r="H78" i="5"/>
  <c r="R78" i="5" s="1"/>
  <c r="E78" i="5"/>
  <c r="H58" i="5"/>
  <c r="E58" i="5"/>
  <c r="H49" i="5"/>
  <c r="R49" i="5" s="1"/>
  <c r="E49" i="5"/>
  <c r="H45" i="5"/>
  <c r="H44" i="5"/>
  <c r="H43" i="5"/>
  <c r="E43" i="5"/>
  <c r="H38" i="5"/>
  <c r="H35" i="5"/>
  <c r="H28" i="5"/>
  <c r="E28" i="5"/>
  <c r="H24" i="5"/>
  <c r="E24" i="5"/>
  <c r="H18" i="5"/>
  <c r="E18" i="5"/>
  <c r="O43" i="5"/>
  <c r="L43" i="5"/>
  <c r="O88" i="5"/>
  <c r="R88" i="5" s="1"/>
  <c r="L88" i="5"/>
  <c r="O87" i="5"/>
  <c r="R87" i="5" s="1"/>
  <c r="L87" i="5"/>
  <c r="O81" i="5"/>
  <c r="R81" i="5" s="1"/>
  <c r="L81" i="5"/>
  <c r="O79" i="5"/>
  <c r="R79" i="5" s="1"/>
  <c r="L79" i="5"/>
  <c r="O77" i="5"/>
  <c r="R77" i="5" s="1"/>
  <c r="L77" i="5"/>
  <c r="O76" i="5"/>
  <c r="R76" i="5" s="1"/>
  <c r="L76" i="5"/>
  <c r="O75" i="5"/>
  <c r="R75" i="5" s="1"/>
  <c r="L75" i="5"/>
  <c r="O74" i="5"/>
  <c r="R74" i="5" s="1"/>
  <c r="L74" i="5"/>
  <c r="O72" i="5"/>
  <c r="R72" i="5" s="1"/>
  <c r="L72" i="5"/>
  <c r="P60" i="5"/>
  <c r="O68" i="5"/>
  <c r="R68" i="5" s="1"/>
  <c r="L68" i="5"/>
  <c r="O67" i="5"/>
  <c r="R67" i="5" s="1"/>
  <c r="L67" i="5"/>
  <c r="O62" i="5"/>
  <c r="R62" i="5" s="1"/>
  <c r="L62" i="5"/>
  <c r="O61" i="5"/>
  <c r="R61" i="5" s="1"/>
  <c r="L61" i="5"/>
  <c r="O60" i="5"/>
  <c r="R60" i="5" s="1"/>
  <c r="N60" i="5"/>
  <c r="M60" i="5"/>
  <c r="K60" i="5"/>
  <c r="O58" i="5"/>
  <c r="L58" i="5"/>
  <c r="O57" i="5"/>
  <c r="R57" i="5" s="1"/>
  <c r="L57" i="5"/>
  <c r="O55" i="5"/>
  <c r="R55" i="5" s="1"/>
  <c r="M55" i="5"/>
  <c r="O51" i="5"/>
  <c r="R51" i="5" s="1"/>
  <c r="L51" i="5"/>
  <c r="P46" i="5"/>
  <c r="P45" i="5"/>
  <c r="P44" i="5"/>
  <c r="O48" i="5"/>
  <c r="R48" i="5" s="1"/>
  <c r="L48" i="5"/>
  <c r="O46" i="5"/>
  <c r="R46" i="5" s="1"/>
  <c r="N46" i="5"/>
  <c r="M46" i="5"/>
  <c r="L46" i="5"/>
  <c r="K46" i="5"/>
  <c r="O45" i="5"/>
  <c r="N45" i="5"/>
  <c r="N90" i="5" s="1"/>
  <c r="M45" i="5"/>
  <c r="L45" i="5"/>
  <c r="K45" i="5"/>
  <c r="O44" i="5"/>
  <c r="N44" i="5"/>
  <c r="M44" i="5"/>
  <c r="K44" i="5"/>
  <c r="K90" i="5" s="1"/>
  <c r="M42" i="5"/>
  <c r="O42" i="5"/>
  <c r="R42" i="5" s="1"/>
  <c r="O40" i="5"/>
  <c r="L40" i="5"/>
  <c r="O39" i="5"/>
  <c r="L39" i="5"/>
  <c r="O29" i="5"/>
  <c r="L29" i="5"/>
  <c r="O28" i="5"/>
  <c r="L28" i="5"/>
  <c r="O27" i="5"/>
  <c r="L27" i="5"/>
  <c r="O38" i="5"/>
  <c r="L38" i="5"/>
  <c r="O34" i="5"/>
  <c r="L34" i="5"/>
  <c r="O26" i="5"/>
  <c r="L26" i="5"/>
  <c r="O23" i="5"/>
  <c r="L23" i="5"/>
  <c r="O18" i="5"/>
  <c r="L18" i="5"/>
  <c r="O15" i="5"/>
  <c r="L15" i="5"/>
  <c r="O12" i="5"/>
  <c r="L12" i="5"/>
  <c r="O11" i="5"/>
  <c r="L11" i="5"/>
  <c r="O10" i="5"/>
  <c r="L10" i="5"/>
  <c r="M90" i="5" l="1"/>
  <c r="P90" i="5"/>
  <c r="E90" i="5"/>
  <c r="R58" i="5"/>
  <c r="H90" i="5"/>
  <c r="R43" i="5"/>
  <c r="R44" i="5"/>
  <c r="R45" i="5"/>
  <c r="L90" i="5"/>
  <c r="O90" i="5"/>
  <c r="R40" i="5" l="1"/>
  <c r="R39" i="5"/>
  <c r="R38" i="5"/>
  <c r="R37" i="5"/>
  <c r="R36" i="5"/>
  <c r="R35" i="5"/>
  <c r="R34" i="5"/>
  <c r="R33" i="5"/>
  <c r="R32" i="5"/>
  <c r="R31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30" i="5" l="1"/>
  <c r="R90" i="5" s="1"/>
  <c r="R37" i="2"/>
  <c r="M30" i="2"/>
  <c r="E15" i="1" l="1"/>
  <c r="H22" i="1"/>
  <c r="F22" i="1"/>
  <c r="H19" i="1"/>
  <c r="F19" i="1"/>
  <c r="H15" i="1"/>
  <c r="F15" i="1"/>
  <c r="H11" i="1"/>
  <c r="F11" i="1"/>
  <c r="H9" i="1"/>
  <c r="H7" i="1"/>
  <c r="H6" i="1"/>
  <c r="H4" i="1"/>
  <c r="H10" i="1"/>
  <c r="F10" i="1"/>
  <c r="G9" i="1"/>
  <c r="F9" i="1"/>
  <c r="E9" i="1"/>
  <c r="D9" i="1"/>
  <c r="F7" i="1"/>
  <c r="G6" i="1"/>
  <c r="F6" i="1"/>
  <c r="D6" i="1"/>
  <c r="F4" i="1"/>
  <c r="F25" i="1" s="1"/>
  <c r="P17" i="2"/>
  <c r="L42" i="2"/>
  <c r="L41" i="2"/>
  <c r="M39" i="2"/>
  <c r="L39" i="2"/>
  <c r="L34" i="2"/>
  <c r="N30" i="2"/>
  <c r="L30" i="2"/>
  <c r="K30" i="2"/>
  <c r="N29" i="2"/>
  <c r="M29" i="2"/>
  <c r="L29" i="2"/>
  <c r="K29" i="2"/>
  <c r="L27" i="2"/>
  <c r="L25" i="2"/>
  <c r="P23" i="2"/>
  <c r="N23" i="2"/>
  <c r="M23" i="2"/>
  <c r="K23" i="2"/>
  <c r="L21" i="2"/>
  <c r="N19" i="2"/>
  <c r="M19" i="2"/>
  <c r="K19" i="2"/>
  <c r="R17" i="2"/>
  <c r="N17" i="2"/>
  <c r="M17" i="2"/>
  <c r="K17" i="2"/>
  <c r="M14" i="2"/>
  <c r="L14" i="2"/>
  <c r="P12" i="2"/>
  <c r="L13" i="2"/>
  <c r="M11" i="2"/>
  <c r="L11" i="2"/>
  <c r="N10" i="2"/>
  <c r="M10" i="2"/>
  <c r="L10" i="2"/>
  <c r="K10" i="2"/>
  <c r="I25" i="1"/>
  <c r="H25" i="1"/>
  <c r="G25" i="1"/>
  <c r="E25" i="1"/>
  <c r="D25" i="1"/>
  <c r="D43" i="2" l="1"/>
  <c r="E39" i="2"/>
  <c r="E22" i="2"/>
  <c r="I20" i="2"/>
  <c r="G20" i="2"/>
  <c r="G43" i="2" s="1"/>
  <c r="F20" i="2"/>
  <c r="D20" i="2"/>
  <c r="F11" i="2"/>
  <c r="F43" i="2" s="1"/>
  <c r="E11" i="2"/>
  <c r="E43" i="2" s="1"/>
  <c r="R50" i="3"/>
  <c r="I64" i="3"/>
  <c r="H64" i="3"/>
  <c r="G64" i="3"/>
  <c r="F64" i="3"/>
  <c r="E64" i="3"/>
  <c r="D64" i="3"/>
  <c r="O13" i="3" l="1"/>
  <c r="O61" i="3"/>
  <c r="L61" i="3"/>
  <c r="O56" i="3"/>
  <c r="L56" i="3"/>
  <c r="O52" i="3"/>
  <c r="L52" i="3"/>
  <c r="O50" i="3"/>
  <c r="L50" i="3"/>
  <c r="O47" i="3"/>
  <c r="L47" i="3"/>
  <c r="O46" i="3"/>
  <c r="L46" i="3"/>
  <c r="O42" i="3"/>
  <c r="L42" i="3"/>
  <c r="O40" i="3"/>
  <c r="L40" i="3"/>
  <c r="O39" i="3"/>
  <c r="L39" i="3"/>
  <c r="O34" i="3"/>
  <c r="O33" i="3"/>
  <c r="M34" i="3"/>
  <c r="M33" i="3"/>
  <c r="O31" i="3"/>
  <c r="M31" i="3"/>
  <c r="O29" i="3"/>
  <c r="L29" i="3"/>
  <c r="O27" i="3"/>
  <c r="L27" i="3"/>
  <c r="O26" i="3"/>
  <c r="L26" i="3"/>
  <c r="O23" i="3"/>
  <c r="L23" i="3"/>
  <c r="L22" i="3"/>
  <c r="O22" i="3"/>
  <c r="N20" i="3"/>
  <c r="M20" i="3"/>
  <c r="K20" i="3"/>
  <c r="O20" i="3" s="1"/>
  <c r="O19" i="3"/>
  <c r="L19" i="3"/>
  <c r="O18" i="3"/>
  <c r="N18" i="3"/>
  <c r="M18" i="3"/>
  <c r="K18" i="3"/>
  <c r="O16" i="3"/>
  <c r="L16" i="3"/>
  <c r="L13" i="3"/>
  <c r="H55" i="3" l="1"/>
  <c r="E55" i="3"/>
  <c r="H52" i="3"/>
  <c r="E52" i="3"/>
  <c r="H42" i="3"/>
  <c r="E42" i="3"/>
  <c r="H40" i="3"/>
  <c r="E40" i="3"/>
  <c r="H39" i="3"/>
  <c r="E39" i="3"/>
  <c r="H29" i="3"/>
  <c r="E29" i="3"/>
  <c r="H26" i="3"/>
  <c r="E26" i="3"/>
  <c r="H20" i="3"/>
  <c r="E20" i="3"/>
  <c r="H19" i="3"/>
  <c r="E19" i="3"/>
  <c r="H16" i="3"/>
  <c r="E16" i="3"/>
  <c r="H13" i="3"/>
  <c r="E13" i="3"/>
  <c r="L43" i="2" l="1"/>
  <c r="O31" i="2"/>
  <c r="O43" i="2" s="1"/>
  <c r="N31" i="2"/>
  <c r="N43" i="2" s="1"/>
  <c r="M31" i="2"/>
  <c r="M43" i="2" s="1"/>
  <c r="K31" i="2"/>
  <c r="K43" i="2" s="1"/>
  <c r="H74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19" i="4"/>
  <c r="R18" i="4"/>
  <c r="R17" i="4"/>
  <c r="R16" i="4"/>
  <c r="R15" i="4"/>
  <c r="R14" i="4"/>
  <c r="R13" i="4"/>
  <c r="R12" i="4"/>
  <c r="R11" i="4"/>
  <c r="E66" i="4"/>
  <c r="E65" i="4"/>
  <c r="E64" i="4"/>
  <c r="G62" i="4"/>
  <c r="F62" i="4"/>
  <c r="E62" i="4"/>
  <c r="D62" i="4"/>
  <c r="E36" i="4"/>
  <c r="E35" i="4"/>
  <c r="E24" i="4"/>
  <c r="G23" i="4"/>
  <c r="F23" i="4"/>
  <c r="D23" i="4"/>
  <c r="E22" i="4"/>
  <c r="E15" i="4"/>
  <c r="I62" i="4" l="1"/>
  <c r="I23" i="4"/>
  <c r="L64" i="3" l="1"/>
  <c r="P20" i="3"/>
  <c r="N64" i="3"/>
  <c r="M64" i="3"/>
  <c r="K64" i="3"/>
  <c r="P64" i="3"/>
  <c r="O64" i="3"/>
  <c r="R42" i="2"/>
  <c r="R41" i="2"/>
  <c r="R40" i="2"/>
  <c r="R39" i="2"/>
  <c r="R38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6" i="2"/>
  <c r="R15" i="2"/>
  <c r="R14" i="2"/>
  <c r="R13" i="2"/>
  <c r="R12" i="2"/>
  <c r="R11" i="2"/>
  <c r="R10" i="2"/>
  <c r="R9" i="2"/>
  <c r="R8" i="2"/>
  <c r="R7" i="2"/>
  <c r="R6" i="2"/>
  <c r="P31" i="2"/>
  <c r="P43" i="2" s="1"/>
  <c r="R62" i="3"/>
  <c r="R61" i="3"/>
  <c r="R60" i="3"/>
  <c r="R59" i="3"/>
  <c r="R58" i="3"/>
  <c r="R57" i="3"/>
  <c r="R56" i="3"/>
  <c r="R55" i="3"/>
  <c r="R54" i="3"/>
  <c r="R53" i="3"/>
  <c r="R52" i="3"/>
  <c r="R51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5" i="2" l="1"/>
  <c r="R43" i="2" s="1"/>
  <c r="I43" i="2" l="1"/>
  <c r="H43" i="2"/>
  <c r="R73" i="4" l="1"/>
  <c r="R25" i="4"/>
  <c r="R24" i="4"/>
  <c r="R23" i="4"/>
  <c r="R22" i="4"/>
  <c r="R21" i="4"/>
  <c r="R20" i="4"/>
  <c r="R10" i="4"/>
  <c r="R9" i="4"/>
  <c r="R8" i="4"/>
  <c r="R7" i="4"/>
  <c r="R6" i="4"/>
  <c r="R5" i="4"/>
  <c r="R4" i="4"/>
  <c r="R74" i="4" l="1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64" i="3" s="1"/>
  <c r="P74" i="4"/>
  <c r="O74" i="4"/>
  <c r="N74" i="4"/>
  <c r="M74" i="4"/>
  <c r="L74" i="4"/>
  <c r="K74" i="4"/>
  <c r="I74" i="4"/>
  <c r="G74" i="4"/>
  <c r="F74" i="4"/>
  <c r="E74" i="4"/>
  <c r="D7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56" authorId="0" shapeId="0" xr:uid="{E2374B9C-122A-48D4-BF59-E21B1022ABEE}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od 1.7. 2011 přibírá ZŠ a MŠ Orlické Záhoří 
od 1.10.2011  ZŠ Olešnice v Orl.horách
</t>
        </r>
        <r>
          <rPr>
            <b/>
            <sz val="8"/>
            <color indexed="81"/>
            <rFont val="Tahoma"/>
            <family val="2"/>
            <charset val="238"/>
          </rPr>
          <t>Věra Neumannová:</t>
        </r>
        <r>
          <rPr>
            <sz val="8"/>
            <color indexed="81"/>
            <rFont val="Tahoma"/>
            <family val="2"/>
            <charset val="238"/>
          </rPr>
          <t xml:space="preserve">
od 1.1.2013  samostatné Orlické Záhoří, od 1.8.2013 samostatná Olešnice v Orl. H.
</t>
        </r>
      </text>
    </comment>
    <comment ref="C61" authorId="0" shapeId="0" xr:uid="{56DC52D7-0E92-48B2-8463-AD7407A816C9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s účinností od 1.10.2018 změna názvu - vymazává se text  okres Rychnov nad Kněžnou 
</t>
        </r>
      </text>
    </comment>
    <comment ref="C66" authorId="0" shapeId="0" xr:uid="{DAD55581-597D-42F6-BB4E-7421D3BB7071}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od  1.1.2012 je pod ZŠ 
zařazena  MŠ Skuhrov  nad Bělou
</t>
        </r>
      </text>
    </comment>
    <comment ref="C70" authorId="0" shapeId="0" xr:uid="{5D500732-D60D-46E4-8134-3CEA36D6996C}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od 1. 9. 2011 zřzuje MŠ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44" authorId="0" shapeId="0" xr:uid="{500ACC22-1882-48C1-8322-356EF414AEF4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Od 1.9. sloučení s MŠ a ZŠ Hronov-Velký Dřevíč</t>
        </r>
      </text>
    </comment>
  </commentList>
</comments>
</file>

<file path=xl/sharedStrings.xml><?xml version="1.0" encoding="utf-8"?>
<sst xmlns="http://schemas.openxmlformats.org/spreadsheetml/2006/main" count="371" uniqueCount="181">
  <si>
    <t>org.</t>
  </si>
  <si>
    <t>název školy</t>
  </si>
  <si>
    <t>platy</t>
  </si>
  <si>
    <t>OON</t>
  </si>
  <si>
    <t>odvody</t>
  </si>
  <si>
    <t>FKSP</t>
  </si>
  <si>
    <t xml:space="preserve">NIV celkem </t>
  </si>
  <si>
    <t>navýšení limitu zam.</t>
  </si>
  <si>
    <t>částky v tis. Kč</t>
  </si>
  <si>
    <t>IČ</t>
  </si>
  <si>
    <t xml:space="preserve"> období 9-12/2023</t>
  </si>
  <si>
    <t>pro období 1-8/2024</t>
  </si>
  <si>
    <t>Celkem</t>
  </si>
  <si>
    <t>obě období</t>
  </si>
  <si>
    <t xml:space="preserve"> období 9-12/2024</t>
  </si>
  <si>
    <t>pro období 1-8/2025</t>
  </si>
  <si>
    <t>Základní škola Strž, Dvůr Králové nad Labem, E. Krásnohorské 2919</t>
  </si>
  <si>
    <t>Základní škola Františka Kupky, Dobruška, Františka Kupky 350, okres Rychnov nad Kněžnou</t>
  </si>
  <si>
    <t>Základní škola, Hradec Králové, M. Horákové 258</t>
  </si>
  <si>
    <t>Základní škola a mateřská škola Na Daliborce, Hořice</t>
  </si>
  <si>
    <t>Základní škola Jaroměř - Josefov, Vodárenská 370, okres Náchod</t>
  </si>
  <si>
    <t>Základní škola, Jičín, 17. listopadu 109, příspěvková organizace</t>
  </si>
  <si>
    <t>Základní škola Gutha-Jarkovského Kostelec nad Orlicí</t>
  </si>
  <si>
    <t>Základní škola T. G. Masaryka Náchod, Bartoňova 1005</t>
  </si>
  <si>
    <t>Základní škola, Nový Bydžov, V. Kl. Klicpery 561, okres Hradec Králové</t>
  </si>
  <si>
    <t>Základní škola Nové Město nad Metují, Komenského 15, okres Náchod</t>
  </si>
  <si>
    <t>Základní škola Nová Paka, Komenského 555</t>
  </si>
  <si>
    <t>Základní škola Rychnov nad Kněžnou, Masarykova 563</t>
  </si>
  <si>
    <t>Základní škola, Trutnov, V Domcích 488</t>
  </si>
  <si>
    <t>Základní škola, Vrchlabí, Školní 1336</t>
  </si>
  <si>
    <t>Mateřská škola Čtyřlístek, Hradec Králové, Švendova 1127</t>
  </si>
  <si>
    <t>Mateřská škola, Hradec Králové, M. Horákové 1143</t>
  </si>
  <si>
    <t>Základní škola a mateřská škola, Boharyně, okres Hradec Králové</t>
  </si>
  <si>
    <t>Základní škola a mateřská škola, Librantice, okres Hradec Králové</t>
  </si>
  <si>
    <t>Základní škola, Hradec Králové, Habrmanova 130</t>
  </si>
  <si>
    <t>Základní škola, Hradec Králové - Pouchov, K Sokolovně 452</t>
  </si>
  <si>
    <t>Základní škola SEVER, Hradec Králové, Lužická 1208</t>
  </si>
  <si>
    <t>Základní škola a Mateřská škola Pohádka, Hradec Králové, Mandysova 1434</t>
  </si>
  <si>
    <t>Základní škola a Mateřská škola, Hradec Králové - Kukleny, Pražská 198</t>
  </si>
  <si>
    <t>Základní škola, Hradec Králové, tř. SNP 694</t>
  </si>
  <si>
    <t>Základní škola, Chlumec nad Cidlinou, okres Hradec Králové</t>
  </si>
  <si>
    <t>Základní škola a Mateřská škola Josefa Gočára, Hradec Králové, Tylovo nábřeží 1140</t>
  </si>
  <si>
    <t>Základní škola, Nový Bydžov, Karla IV. 209, okres Hradec Králové</t>
  </si>
  <si>
    <t>Základní škola a mateřská škola, Hlušice</t>
  </si>
  <si>
    <t>Základní škola a Mateřská škola, Chodovice, okres Jičín</t>
  </si>
  <si>
    <t>Mateřská škola Větrov, Jičín, Křižíkova 1288</t>
  </si>
  <si>
    <t>Základní škola K. V. Raise, Lázně Bělohrad, okres Jičín</t>
  </si>
  <si>
    <t>Základní škola a Mateřská škola Libáň, okres Jičín</t>
  </si>
  <si>
    <t>Masarykova základní škola a mateřská škola, Železnice</t>
  </si>
  <si>
    <t>Základní škola a Mateřská škola, Dětenice, okres Jičín</t>
  </si>
  <si>
    <t>Masarykova základní škola, Stará Paka, okres Jičín</t>
  </si>
  <si>
    <t>Základní škola Boženy Němcové Jaroměř, Husovo náměstí 352, okres Náchod</t>
  </si>
  <si>
    <t>Mateřská škola Jaroměř, Lužická 321</t>
  </si>
  <si>
    <t>Základní škola, Česká Skalice, okres Náchod</t>
  </si>
  <si>
    <t>Základní škola a Mateřská škola Hronov, okres Náchod</t>
  </si>
  <si>
    <t>Základní škola, Náchod, Pavlišovská 55</t>
  </si>
  <si>
    <t>Mateřská škola, Náchod, Havlíčkova 1848</t>
  </si>
  <si>
    <t>Základní škola Opočno</t>
  </si>
  <si>
    <t>Základní škola Týniště nad Orlicí</t>
  </si>
  <si>
    <t>Základní škola Rokytnice v Orlických horách, okres Rychnov nad Kněžnou</t>
  </si>
  <si>
    <t>Základní škola Rychnov nad Kněžnou, Javornická 1596</t>
  </si>
  <si>
    <t>Základní škola Solnice, okres Rychnov nad Kněžnou</t>
  </si>
  <si>
    <t>Základní škola Vamberk, okres Rychnov nad Kněžnou</t>
  </si>
  <si>
    <t>Základní škola a Mateřská škola Kvasiny, okres Rychnov nad Kněžnou</t>
  </si>
  <si>
    <t>Základní škola a mateřská škola Rybná nad Zdobnicí, (okres Rychnov nad Kněžnou)</t>
  </si>
  <si>
    <t>Mateřská škola Čtyřlístek, Rychnov nad Kněžnou, Mírová 1487</t>
  </si>
  <si>
    <t>Základní škola Schulzovy sady, Dvůr Králové nad Labem, Školní 1235</t>
  </si>
  <si>
    <t xml:space="preserve">Základní škola Strž, Dvůr Králové nad Labem, E. Krásnohorské 2919
</t>
  </si>
  <si>
    <t>Základní škola a Mateřská škola, Janské Lázně, okres Trutnov</t>
  </si>
  <si>
    <t>Základní škola, Trutnov 2, Mládežnická 536</t>
  </si>
  <si>
    <t>Základní škola, Žacléř, okres Trutnov</t>
  </si>
  <si>
    <t>Základní škola Malé Svatoňovice</t>
  </si>
  <si>
    <t>Základní škola a Mateřská škola, Radvanice, okres Trutnov</t>
  </si>
  <si>
    <t>Základní škola, Vrchlabí, nám. Míru 283</t>
  </si>
  <si>
    <t>Základní škola a mateřská škola Špindlerův Mlýn</t>
  </si>
  <si>
    <t xml:space="preserve">Základní škola, Chlumec nad Cidlinou, okres Hradec Králové
</t>
  </si>
  <si>
    <t xml:space="preserve">Základní škola  a Mateřská škola, Lhota pod Libčany, okres HK
</t>
  </si>
  <si>
    <t xml:space="preserve">Základní škola a mateřská škola, Libčany
</t>
  </si>
  <si>
    <t xml:space="preserve">Základní škola a mateřská škola, Mžany, okres Hradec Králové
</t>
  </si>
  <si>
    <t xml:space="preserve">Základní škola a mateřská škola, Praskačka, okres HK
</t>
  </si>
  <si>
    <t>Mateřská škola Kamarád, Hradec Králové, Veverkova 1495</t>
  </si>
  <si>
    <t>Mateřská škola Sluníčko, Hradec Králové, Štefánikova 373</t>
  </si>
  <si>
    <t>Mateřská škola, Hradec Králové-Věkoše, K Sokolovně 349</t>
  </si>
  <si>
    <t>Základní škola a mateřská škola, Praskačka, okres Hradec Králové</t>
  </si>
  <si>
    <t>Základní škola, Hradec Králové, Bezručova 1468</t>
  </si>
  <si>
    <t>Základní škola a Mateřská škola, Hradec Králové, Jiráskovo nám. 1166</t>
  </si>
  <si>
    <t>Základní škola a Mateřská škola, Hradec Králové, Štefcova 1092</t>
  </si>
  <si>
    <t>Základní škola a mateřská škola, Předměřice nad Labem, okres Hradec Králové</t>
  </si>
  <si>
    <t>Základní škola, Smiřice, okres Hradec Králové</t>
  </si>
  <si>
    <t>Základní škola, Třebechovice pod Orebem, okres Hradec Králové</t>
  </si>
  <si>
    <t>Základní škola Na Habru, Hořice, Jablonského 865, okres Jičín</t>
  </si>
  <si>
    <t>Bělohradská mateřská škola</t>
  </si>
  <si>
    <t>Mateřská škola, Sobotka</t>
  </si>
  <si>
    <t>Základní škola, Jičín, Husova 170</t>
  </si>
  <si>
    <t>Základní škola, Sobotka, okres Jičín</t>
  </si>
  <si>
    <t>Mateřská škola U Kina, Jičín, 17. listopadu 46, příspěvková organizace</t>
  </si>
  <si>
    <t>Masarykova základní škola, Broumov, Komenského 312, okres Náchod</t>
  </si>
  <si>
    <t>Základní škola Boženy Němcové Jaroměř, Husovo náměstí 352</t>
  </si>
  <si>
    <t>Základní škola a Mateřská škola Velichovky, příspěvková organizace</t>
  </si>
  <si>
    <t>Základní škola Rychnovek-Zvole, příspěvková organizace</t>
  </si>
  <si>
    <t>Základní škola V. Hejny, Červený Kostelec, Komenského 540, okres Náchod</t>
  </si>
  <si>
    <t>Základní škola, Náchod, Komenského 425</t>
  </si>
  <si>
    <t>Základní škola Náchod - Plhov, Příkopy 1186</t>
  </si>
  <si>
    <t>Základní škola a Mateřská škola, Police nad Metují, okres Náchod</t>
  </si>
  <si>
    <t>Mateřská škola, Náchod, Komenského 301</t>
  </si>
  <si>
    <t>Základní škola a Mateřská škola Deštné v Orlických horách</t>
  </si>
  <si>
    <t>Základní škola, Opočno, okres Rychnov nad Kněžnou</t>
  </si>
  <si>
    <t>Základní škola a mateřská škola, Svoboda nad Úpou, okres Trutnov</t>
  </si>
  <si>
    <t>Základní škola a Mateřská škola, Horní Maršov, okres Trutnov</t>
  </si>
  <si>
    <t xml:space="preserve">Základní škola a mateřská škola Skřivany, okres Hradec Králové
</t>
  </si>
  <si>
    <t xml:space="preserve">Základní škola a Mateřská škola Libáň
</t>
  </si>
  <si>
    <t xml:space="preserve">Základní škola K.V.Raise, Lázně Bělohrad
</t>
  </si>
  <si>
    <t xml:space="preserve">Mateřská škola, Sobotka
</t>
  </si>
  <si>
    <t xml:space="preserve">Základní škola Hradební, Broumov
</t>
  </si>
  <si>
    <t xml:space="preserve">Základní škola Boženy Němcové Jaroměř, Husovo náměstí 352, okres Náchod
</t>
  </si>
  <si>
    <t>Mateřská škola, Náchod, Myslbekova 4</t>
  </si>
  <si>
    <t xml:space="preserve">ZŠ V. Hejny, Červený Kostelec, Komenského540, okres Náchod
</t>
  </si>
  <si>
    <t xml:space="preserve">ZŠ a MŠ Hronov, okres Náchod
</t>
  </si>
  <si>
    <t>Mateřská škola, Nové Město nad Metují, Na Františku 845</t>
  </si>
  <si>
    <t xml:space="preserve">Základní škola Opočno
</t>
  </si>
  <si>
    <t xml:space="preserve">Základní škola a mateřská škola Častolovice 
</t>
  </si>
  <si>
    <t xml:space="preserve">Základní škola a Mateřská škola Bílý Újezd, okres Rychnov nad Kněžnou 
</t>
  </si>
  <si>
    <t xml:space="preserve">Základní škola a Mateřská škola Orlické Záhoří
</t>
  </si>
  <si>
    <t xml:space="preserve">Základní škola a Mateřská škola Skuhrov nad Bělou
</t>
  </si>
  <si>
    <t>Mareřská škola, Trutnov, Komenského 485</t>
  </si>
  <si>
    <t xml:space="preserve">Základní škola a Mateřská škola, Horní Maršov, okres Trutnov
</t>
  </si>
  <si>
    <t>Mateřská škola Rokytnice v Orlických horách</t>
  </si>
  <si>
    <t xml:space="preserve"> poskytnuto na období 9-12/2021</t>
  </si>
  <si>
    <t>poskytnuto na  období 1-8/2022</t>
  </si>
  <si>
    <t>Mateřská škola Solnice</t>
  </si>
  <si>
    <t xml:space="preserve"> období 1-8/2021</t>
  </si>
  <si>
    <t xml:space="preserve">ZŠ a MŠ Hradec Králové - Kukleny, Pražská 198 </t>
  </si>
  <si>
    <t>Masarykova jubilejní ZŠ a MŠ, Černilov</t>
  </si>
  <si>
    <t>Základní škola, Chlumec nad Cidlinou</t>
  </si>
  <si>
    <t>Základní škola, Jičín, 17. listopadu 109</t>
  </si>
  <si>
    <t>Základní škola, Jičín, Železnická 460</t>
  </si>
  <si>
    <t>Základní škola, Lázně Bělohrad</t>
  </si>
  <si>
    <t>ZŠ Nové Město nad Metují, 
Komenského 15, okres Náchod</t>
  </si>
  <si>
    <t>Základní škola České Meziříčí, okres Rychnov nad Kněžnou</t>
  </si>
  <si>
    <t>Základní škola Gutha-Jarkovsého Kostelec nad Orlicí</t>
  </si>
  <si>
    <t>Základní škola a Mateřská škola, Bernartice</t>
  </si>
  <si>
    <t>ZŠ Rychnov nad Kněžnou, Javornická 1596</t>
  </si>
  <si>
    <t>ZŠ Rychnov nad Kněžnou, Masarykova 563</t>
  </si>
  <si>
    <t>ZŠ a MŠ Skuhrov nad Bělou</t>
  </si>
  <si>
    <t>ZŠ a MŠ Kvasiny</t>
  </si>
  <si>
    <t>ZŠ T. G. Masaryka Náchod, Bartoňova 1005</t>
  </si>
  <si>
    <t>ZŠ Hradební, Broumov</t>
  </si>
  <si>
    <t>ZŠ Úpice-Lány</t>
  </si>
  <si>
    <t>ZŠ Nový Bydžov, Karla IV. 209</t>
  </si>
  <si>
    <t xml:space="preserve">  </t>
  </si>
  <si>
    <t xml:space="preserve">Výuka českého jazyka žáků cizinců z prostředků na přímé NIV - ZŠ, MŠ školní rok 2023/2024 </t>
  </si>
  <si>
    <t>Výuka českého jazyka žáků cizinců z prostředků na přímé NIV - ZŠ, MŠ leden-srpen 2021</t>
  </si>
  <si>
    <t xml:space="preserve">Výuka českého jazyka žáků cizinců z prostředků na přímé NIV - ZŠ, MŠ školní rok 2024/2025 </t>
  </si>
  <si>
    <t>Výuka českého jazyka žáků cizinců z prostředků na přímé NIV - ZŠ, MŠ školní rok 2021/2022</t>
  </si>
  <si>
    <t xml:space="preserve"> poskytnuto na období 9-12/2022</t>
  </si>
  <si>
    <t>Základní škola a Mateřská škola, Lhota pod Libčany, okres Hradec Králové</t>
  </si>
  <si>
    <t>Základní škola a Mateřská škola, Lovčice, okres Hradec Králové</t>
  </si>
  <si>
    <t>Základní škola a mateřská škola, Mžany, okres Hradec Králové</t>
  </si>
  <si>
    <t>Masarykova základní škola a Mateřská škola, Hradec Králové - Plotiště, P. Jilemnického 420</t>
  </si>
  <si>
    <t>Základní škola a mateřská škola, Všestary</t>
  </si>
  <si>
    <t>Základní škola a Mateřská škola Josefa Gočára, Hradec Králové, Tylovo nábřeží 1140  - MŠ</t>
  </si>
  <si>
    <t>Základní škola a mateřská škola, Skřivany, okres Hradec Králové</t>
  </si>
  <si>
    <t>Bělohradská mateřská škola, Horní Nová Ves</t>
  </si>
  <si>
    <t>Základní škola Hradební, Broumov</t>
  </si>
  <si>
    <t>Základní škola, Náchod, Drtinovo náměstí 121</t>
  </si>
  <si>
    <t>Základní škola a Mateřská škola, Suchý Důl, okres Náchod</t>
  </si>
  <si>
    <t>Základní škola Nové Město nad Metují, Školní 1000, okres Náchod</t>
  </si>
  <si>
    <t xml:space="preserve">Základní škola a mateřská škola Častolovice </t>
  </si>
  <si>
    <t>Základní škola a mateřská škola Albrechtice nad Orlicí</t>
  </si>
  <si>
    <t>Základní škola a Mateřská škola Skuhrov nad Bělou</t>
  </si>
  <si>
    <t xml:space="preserve">Základní škola a Mateřská škola Bílý Újezd, okres Rychnov nad Kněžnou </t>
  </si>
  <si>
    <t>Základní škola a Základní umělecká škola, Rtyně v Podkrkonoší, okres Trutnov</t>
  </si>
  <si>
    <t>Základní škola, Trutnov, Komenského 399</t>
  </si>
  <si>
    <t>Základní škola a Mateřská škola, Bernartice, okres Trutnov</t>
  </si>
  <si>
    <t>Základní škola a mateřská škola, Mladé Buky</t>
  </si>
  <si>
    <t>Základní škola a Mateřská škola, Černý Důl, okres Trutnov</t>
  </si>
  <si>
    <t>Základní škola Karla Klíče Hostinné</t>
  </si>
  <si>
    <t>poskytnuto na  období 1-8/2023</t>
  </si>
  <si>
    <t>Výuka českého jazyka žáků cizinců z prostředků na přímé NIV - ZŠ, MŠ školní rok 2022/2023</t>
  </si>
  <si>
    <t>Základní škola, Nový Hrádek, okres Náchod</t>
  </si>
  <si>
    <t>8,75 poskytnuto, ale celé vráceno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</si>
</sst>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"/>
    <numFmt numFmtId="165" formatCode="0.0000"/>
    <numFmt numFmtId="166" formatCode="#,##0.0000"/>
    <numFmt numFmtId="167" formatCode="0.000"/>
    <numFmt numFmtId="168" formatCode="#,##0.00000"/>
    <numFmt numFmtId="169" formatCode="0.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1"/>
      <color theme="1"/>
      <name val="Calibri"/>
      <family val="2"/>
    </font>
    <font>
      <b/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0"/>
      <color theme="1"/>
      <name val="Times New Roman CE"/>
      <charset val="238"/>
    </font>
    <font>
      <b/>
      <sz val="11"/>
      <color theme="1"/>
      <name val="Calibri"/>
      <family val="2"/>
    </font>
    <font>
      <b/>
      <sz val="11"/>
      <name val="Calibri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1"/>
      <scheme val="minor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9E7"/>
        <bgColor indexed="64"/>
      </patternFill>
    </fill>
    <fill>
      <patternFill patternType="solid">
        <fgColor rgb="FFFFFCF3"/>
        <bgColor indexed="64"/>
      </patternFill>
    </fill>
    <fill>
      <patternFill patternType="solid">
        <fgColor rgb="FFFFF5D5"/>
        <bgColor indexed="64"/>
      </patternFill>
    </fill>
    <fill>
      <patternFill patternType="solid">
        <fgColor rgb="FFFFF8E5"/>
        <bgColor indexed="64"/>
      </patternFill>
    </fill>
    <fill>
      <patternFill patternType="solid">
        <fgColor rgb="FFFFF7E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407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2" fillId="0" borderId="0" xfId="0" applyFont="1"/>
    <xf numFmtId="0" fontId="0" fillId="0" borderId="18" xfId="0" applyBorder="1"/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65" fontId="11" fillId="0" borderId="16" xfId="0" applyNumberFormat="1" applyFont="1" applyFill="1" applyBorder="1" applyAlignment="1">
      <alignment horizontal="center" vertical="center"/>
    </xf>
    <xf numFmtId="164" fontId="17" fillId="0" borderId="13" xfId="0" applyNumberFormat="1" applyFont="1" applyFill="1" applyBorder="1" applyAlignment="1">
      <alignment horizontal="center" vertical="center"/>
    </xf>
    <xf numFmtId="164" fontId="17" fillId="0" borderId="15" xfId="0" applyNumberFormat="1" applyFont="1" applyFill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18" fillId="2" borderId="4" xfId="0" applyFont="1" applyFill="1" applyBorder="1" applyAlignment="1">
      <alignment horizontal="center" vertical="center"/>
    </xf>
    <xf numFmtId="1" fontId="18" fillId="2" borderId="5" xfId="1" applyNumberFormat="1" applyFont="1" applyFill="1" applyBorder="1" applyAlignment="1">
      <alignment horizontal="center" vertical="center"/>
    </xf>
    <xf numFmtId="0" fontId="18" fillId="2" borderId="5" xfId="1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1" fontId="19" fillId="2" borderId="5" xfId="1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18" fillId="2" borderId="5" xfId="0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15" fillId="0" borderId="7" xfId="0" applyNumberFormat="1" applyFont="1" applyFill="1" applyBorder="1" applyAlignment="1">
      <alignment horizontal="center" vertical="center"/>
    </xf>
    <xf numFmtId="164" fontId="15" fillId="0" borderId="5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15" fillId="0" borderId="9" xfId="0" applyNumberFormat="1" applyFont="1" applyFill="1" applyBorder="1" applyAlignment="1">
      <alignment horizontal="center" vertical="center"/>
    </xf>
    <xf numFmtId="164" fontId="6" fillId="0" borderId="22" xfId="0" applyNumberFormat="1" applyFont="1" applyFill="1" applyBorder="1" applyAlignment="1">
      <alignment horizontal="center" vertical="center"/>
    </xf>
    <xf numFmtId="164" fontId="15" fillId="0" borderId="14" xfId="0" applyNumberFormat="1" applyFont="1" applyFill="1" applyBorder="1" applyAlignment="1">
      <alignment horizontal="center" vertical="center"/>
    </xf>
    <xf numFmtId="164" fontId="6" fillId="0" borderId="14" xfId="0" applyNumberFormat="1" applyFont="1" applyFill="1" applyBorder="1" applyAlignment="1">
      <alignment horizontal="center" vertical="center"/>
    </xf>
    <xf numFmtId="164" fontId="15" fillId="0" borderId="21" xfId="0" applyNumberFormat="1" applyFont="1" applyFill="1" applyBorder="1" applyAlignment="1">
      <alignment horizontal="center" vertical="center"/>
    </xf>
    <xf numFmtId="164" fontId="6" fillId="0" borderId="20" xfId="0" applyNumberFormat="1" applyFont="1" applyFill="1" applyBorder="1" applyAlignment="1">
      <alignment horizontal="center" vertical="center"/>
    </xf>
    <xf numFmtId="164" fontId="6" fillId="0" borderId="15" xfId="0" applyNumberFormat="1" applyFont="1" applyFill="1" applyBorder="1" applyAlignment="1">
      <alignment horizontal="center" vertical="center"/>
    </xf>
    <xf numFmtId="164" fontId="6" fillId="0" borderId="17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6" fillId="2" borderId="22" xfId="0" applyNumberFormat="1" applyFont="1" applyFill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165" fontId="6" fillId="0" borderId="23" xfId="0" applyNumberFormat="1" applyFont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164" fontId="6" fillId="2" borderId="14" xfId="0" applyNumberFormat="1" applyFont="1" applyFill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165" fontId="6" fillId="0" borderId="16" xfId="0" applyNumberFormat="1" applyFont="1" applyFill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164" fontId="8" fillId="2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165" fontId="6" fillId="0" borderId="25" xfId="0" applyNumberFormat="1" applyFont="1" applyBorder="1" applyAlignment="1">
      <alignment horizontal="center" vertical="center"/>
    </xf>
    <xf numFmtId="165" fontId="4" fillId="0" borderId="23" xfId="0" applyNumberFormat="1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 vertical="center"/>
    </xf>
    <xf numFmtId="165" fontId="4" fillId="0" borderId="25" xfId="0" applyNumberFormat="1" applyFont="1" applyFill="1" applyBorder="1" applyAlignment="1">
      <alignment horizontal="center" vertical="center"/>
    </xf>
    <xf numFmtId="0" fontId="21" fillId="0" borderId="0" xfId="0" applyFont="1"/>
    <xf numFmtId="3" fontId="11" fillId="0" borderId="4" xfId="0" applyNumberFormat="1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/>
    </xf>
    <xf numFmtId="3" fontId="11" fillId="0" borderId="14" xfId="0" applyNumberFormat="1" applyFont="1" applyFill="1" applyBorder="1" applyAlignment="1">
      <alignment horizontal="center" vertical="center"/>
    </xf>
    <xf numFmtId="0" fontId="20" fillId="3" borderId="27" xfId="0" applyFont="1" applyFill="1" applyBorder="1" applyAlignment="1">
      <alignment horizontal="left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3" fillId="0" borderId="28" xfId="1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20" fillId="0" borderId="29" xfId="0" applyFont="1" applyFill="1" applyBorder="1" applyAlignment="1">
      <alignment horizontal="left" vertical="center" wrapText="1"/>
    </xf>
    <xf numFmtId="0" fontId="20" fillId="4" borderId="28" xfId="0" applyFont="1" applyFill="1" applyBorder="1" applyAlignment="1">
      <alignment horizontal="left" vertical="center" wrapText="1"/>
    </xf>
    <xf numFmtId="0" fontId="24" fillId="4" borderId="28" xfId="0" applyFont="1" applyFill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5" fillId="0" borderId="2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25" fillId="0" borderId="28" xfId="0" applyFont="1" applyBorder="1" applyAlignment="1">
      <alignment vertical="top" wrapText="1"/>
    </xf>
    <xf numFmtId="0" fontId="24" fillId="0" borderId="15" xfId="0" applyFont="1" applyBorder="1" applyAlignment="1">
      <alignment horizontal="left" vertical="center" wrapText="1"/>
    </xf>
    <xf numFmtId="0" fontId="0" fillId="0" borderId="31" xfId="0" applyBorder="1"/>
    <xf numFmtId="0" fontId="0" fillId="0" borderId="14" xfId="0" applyBorder="1"/>
    <xf numFmtId="0" fontId="18" fillId="2" borderId="36" xfId="0" applyFont="1" applyFill="1" applyBorder="1" applyAlignment="1">
      <alignment horizontal="center" vertical="center"/>
    </xf>
    <xf numFmtId="164" fontId="6" fillId="2" borderId="35" xfId="0" applyNumberFormat="1" applyFont="1" applyFill="1" applyBorder="1" applyAlignment="1">
      <alignment horizontal="center" vertical="center"/>
    </xf>
    <xf numFmtId="164" fontId="8" fillId="2" borderId="36" xfId="0" applyNumberFormat="1" applyFont="1" applyFill="1" applyBorder="1" applyAlignment="1">
      <alignment horizontal="center" vertical="center"/>
    </xf>
    <xf numFmtId="164" fontId="6" fillId="0" borderId="36" xfId="0" applyNumberFormat="1" applyFont="1" applyBorder="1" applyAlignment="1">
      <alignment horizontal="center" vertical="center"/>
    </xf>
    <xf numFmtId="164" fontId="6" fillId="0" borderId="37" xfId="0" applyNumberFormat="1" applyFont="1" applyBorder="1" applyAlignment="1">
      <alignment horizontal="center" vertical="center"/>
    </xf>
    <xf numFmtId="164" fontId="6" fillId="0" borderId="38" xfId="0" applyNumberFormat="1" applyFont="1" applyBorder="1" applyAlignment="1">
      <alignment horizontal="center" vertical="center"/>
    </xf>
    <xf numFmtId="165" fontId="6" fillId="0" borderId="39" xfId="0" applyNumberFormat="1" applyFont="1" applyBorder="1" applyAlignment="1">
      <alignment horizontal="center" vertical="center"/>
    </xf>
    <xf numFmtId="164" fontId="15" fillId="0" borderId="36" xfId="0" applyNumberFormat="1" applyFont="1" applyFill="1" applyBorder="1" applyAlignment="1">
      <alignment horizontal="center" vertical="center"/>
    </xf>
    <xf numFmtId="164" fontId="6" fillId="0" borderId="36" xfId="0" applyNumberFormat="1" applyFont="1" applyFill="1" applyBorder="1" applyAlignment="1">
      <alignment horizontal="center" vertical="center"/>
    </xf>
    <xf numFmtId="164" fontId="6" fillId="0" borderId="37" xfId="0" applyNumberFormat="1" applyFont="1" applyFill="1" applyBorder="1" applyAlignment="1">
      <alignment horizontal="center" vertical="center"/>
    </xf>
    <xf numFmtId="164" fontId="6" fillId="0" borderId="38" xfId="0" applyNumberFormat="1" applyFont="1" applyFill="1" applyBorder="1" applyAlignment="1">
      <alignment horizontal="center" vertical="center"/>
    </xf>
    <xf numFmtId="165" fontId="4" fillId="0" borderId="39" xfId="0" applyNumberFormat="1" applyFont="1" applyFill="1" applyBorder="1" applyAlignment="1">
      <alignment horizontal="center" vertical="center"/>
    </xf>
    <xf numFmtId="0" fontId="24" fillId="6" borderId="15" xfId="0" applyFont="1" applyFill="1" applyBorder="1" applyAlignment="1">
      <alignment horizontal="left" vertical="center" wrapText="1"/>
    </xf>
    <xf numFmtId="0" fontId="24" fillId="4" borderId="15" xfId="0" applyFont="1" applyFill="1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4" fillId="4" borderId="13" xfId="0" applyFont="1" applyFill="1" applyBorder="1" applyAlignment="1">
      <alignment horizontal="left" vertical="center" wrapText="1"/>
    </xf>
    <xf numFmtId="0" fontId="24" fillId="4" borderId="38" xfId="0" applyFont="1" applyFill="1" applyBorder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0" fontId="25" fillId="0" borderId="27" xfId="0" applyFont="1" applyBorder="1" applyAlignment="1">
      <alignment horizontal="left" wrapText="1"/>
    </xf>
    <xf numFmtId="0" fontId="25" fillId="0" borderId="28" xfId="0" applyFont="1" applyBorder="1" applyAlignment="1">
      <alignment horizontal="left" wrapText="1"/>
    </xf>
    <xf numFmtId="0" fontId="25" fillId="0" borderId="28" xfId="0" applyFont="1" applyBorder="1" applyAlignment="1">
      <alignment wrapText="1"/>
    </xf>
    <xf numFmtId="0" fontId="25" fillId="0" borderId="40" xfId="0" applyFont="1" applyBorder="1" applyAlignment="1">
      <alignment wrapText="1"/>
    </xf>
    <xf numFmtId="0" fontId="25" fillId="0" borderId="14" xfId="0" applyFont="1" applyBorder="1" applyAlignment="1">
      <alignment wrapText="1"/>
    </xf>
    <xf numFmtId="0" fontId="25" fillId="0" borderId="37" xfId="0" applyFont="1" applyBorder="1" applyAlignment="1">
      <alignment wrapText="1"/>
    </xf>
    <xf numFmtId="0" fontId="25" fillId="0" borderId="14" xfId="0" applyFont="1" applyBorder="1" applyAlignment="1">
      <alignment vertical="top" wrapText="1"/>
    </xf>
    <xf numFmtId="0" fontId="25" fillId="0" borderId="33" xfId="0" applyFont="1" applyBorder="1" applyAlignment="1">
      <alignment vertical="top" wrapText="1"/>
    </xf>
    <xf numFmtId="0" fontId="25" fillId="0" borderId="5" xfId="0" applyFont="1" applyBorder="1" applyAlignment="1">
      <alignment vertical="top" wrapText="1"/>
    </xf>
    <xf numFmtId="167" fontId="24" fillId="0" borderId="14" xfId="0" applyNumberFormat="1" applyFont="1" applyBorder="1" applyAlignment="1">
      <alignment horizontal="left" vertical="center"/>
    </xf>
    <xf numFmtId="0" fontId="3" fillId="0" borderId="15" xfId="1" applyFont="1" applyFill="1" applyBorder="1" applyAlignment="1">
      <alignment horizontal="left" vertical="top" wrapText="1"/>
    </xf>
    <xf numFmtId="0" fontId="3" fillId="0" borderId="38" xfId="1" applyFont="1" applyFill="1" applyBorder="1" applyAlignment="1">
      <alignment horizontal="left" vertical="top" wrapText="1"/>
    </xf>
    <xf numFmtId="0" fontId="7" fillId="0" borderId="15" xfId="1" applyFill="1" applyBorder="1" applyAlignment="1">
      <alignment horizontal="left" vertical="top" wrapText="1"/>
    </xf>
    <xf numFmtId="0" fontId="3" fillId="0" borderId="13" xfId="1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165" fontId="10" fillId="0" borderId="43" xfId="0" applyNumberFormat="1" applyFont="1" applyBorder="1" applyAlignment="1">
      <alignment horizontal="center" vertical="center"/>
    </xf>
    <xf numFmtId="165" fontId="29" fillId="0" borderId="43" xfId="0" applyNumberFormat="1" applyFont="1" applyFill="1" applyBorder="1" applyAlignment="1">
      <alignment horizontal="center" vertical="center"/>
    </xf>
    <xf numFmtId="3" fontId="17" fillId="0" borderId="5" xfId="0" applyNumberFormat="1" applyFont="1" applyFill="1" applyBorder="1" applyAlignment="1">
      <alignment horizontal="center" vertical="center"/>
    </xf>
    <xf numFmtId="0" fontId="3" fillId="0" borderId="14" xfId="0" applyFont="1" applyBorder="1" applyAlignment="1"/>
    <xf numFmtId="164" fontId="0" fillId="7" borderId="31" xfId="0" applyNumberFormat="1" applyFill="1" applyBorder="1" applyAlignment="1">
      <alignment horizontal="center" vertical="center"/>
    </xf>
    <xf numFmtId="164" fontId="0" fillId="7" borderId="5" xfId="0" applyNumberFormat="1" applyFill="1" applyBorder="1" applyAlignment="1">
      <alignment horizontal="center" vertical="center"/>
    </xf>
    <xf numFmtId="0" fontId="28" fillId="0" borderId="5" xfId="1" applyNumberFormat="1" applyFont="1" applyFill="1" applyBorder="1" applyAlignment="1">
      <alignment horizontal="center" vertical="center" wrapText="1"/>
    </xf>
    <xf numFmtId="0" fontId="28" fillId="0" borderId="5" xfId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1" fillId="0" borderId="5" xfId="1" applyNumberFormat="1" applyFont="1" applyFill="1" applyBorder="1" applyAlignment="1">
      <alignment horizontal="center" vertical="center" wrapText="1"/>
    </xf>
    <xf numFmtId="0" fontId="30" fillId="4" borderId="5" xfId="0" applyFont="1" applyFill="1" applyBorder="1" applyAlignment="1">
      <alignment horizontal="center" vertical="center" wrapText="1"/>
    </xf>
    <xf numFmtId="0" fontId="31" fillId="0" borderId="5" xfId="1" applyFont="1" applyFill="1" applyBorder="1" applyAlignment="1">
      <alignment horizontal="center" vertical="center" wrapText="1"/>
    </xf>
    <xf numFmtId="0" fontId="31" fillId="4" borderId="5" xfId="1" applyFont="1" applyFill="1" applyBorder="1" applyAlignment="1">
      <alignment horizontal="center" vertical="center" wrapText="1"/>
    </xf>
    <xf numFmtId="0" fontId="31" fillId="0" borderId="26" xfId="0" applyNumberFormat="1" applyFont="1" applyFill="1" applyBorder="1" applyAlignment="1">
      <alignment horizontal="center" vertical="center" wrapText="1"/>
    </xf>
    <xf numFmtId="0" fontId="31" fillId="4" borderId="5" xfId="1" applyNumberFormat="1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165" fontId="10" fillId="0" borderId="42" xfId="0" applyNumberFormat="1" applyFont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4" borderId="31" xfId="0" applyFont="1" applyFill="1" applyBorder="1" applyAlignment="1">
      <alignment horizontal="center" vertical="center" wrapText="1"/>
    </xf>
    <xf numFmtId="0" fontId="28" fillId="0" borderId="45" xfId="0" applyFont="1" applyBorder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1" fontId="18" fillId="2" borderId="9" xfId="1" applyNumberFormat="1" applyFont="1" applyFill="1" applyBorder="1" applyAlignment="1">
      <alignment horizontal="center" vertical="center"/>
    </xf>
    <xf numFmtId="0" fontId="24" fillId="0" borderId="41" xfId="0" applyFont="1" applyBorder="1" applyAlignment="1">
      <alignment horizontal="left" vertical="center" wrapText="1"/>
    </xf>
    <xf numFmtId="165" fontId="24" fillId="0" borderId="30" xfId="0" applyNumberFormat="1" applyFont="1" applyBorder="1" applyAlignment="1">
      <alignment horizontal="left" vertical="center" wrapText="1"/>
    </xf>
    <xf numFmtId="0" fontId="25" fillId="0" borderId="43" xfId="0" applyFont="1" applyBorder="1" applyAlignment="1">
      <alignment vertical="top" wrapText="1"/>
    </xf>
    <xf numFmtId="0" fontId="18" fillId="2" borderId="26" xfId="0" applyFont="1" applyFill="1" applyBorder="1" applyAlignment="1">
      <alignment horizontal="center" vertical="center"/>
    </xf>
    <xf numFmtId="1" fontId="18" fillId="2" borderId="33" xfId="1" applyNumberFormat="1" applyFont="1" applyFill="1" applyBorder="1" applyAlignment="1">
      <alignment horizontal="center" vertical="center"/>
    </xf>
    <xf numFmtId="0" fontId="25" fillId="0" borderId="30" xfId="0" applyFont="1" applyBorder="1" applyAlignment="1">
      <alignment vertical="top" wrapText="1"/>
    </xf>
    <xf numFmtId="0" fontId="25" fillId="0" borderId="34" xfId="0" applyFont="1" applyBorder="1" applyAlignment="1">
      <alignment vertical="top" wrapText="1"/>
    </xf>
    <xf numFmtId="1" fontId="18" fillId="2" borderId="36" xfId="1" applyNumberFormat="1" applyFont="1" applyFill="1" applyBorder="1" applyAlignment="1">
      <alignment horizontal="center" vertical="center"/>
    </xf>
    <xf numFmtId="0" fontId="25" fillId="0" borderId="43" xfId="0" applyFont="1" applyBorder="1" applyAlignment="1">
      <alignment wrapText="1"/>
    </xf>
    <xf numFmtId="0" fontId="25" fillId="0" borderId="13" xfId="0" applyFont="1" applyBorder="1" applyAlignment="1">
      <alignment wrapText="1"/>
    </xf>
    <xf numFmtId="0" fontId="24" fillId="4" borderId="19" xfId="0" applyFont="1" applyFill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6" borderId="19" xfId="0" applyFont="1" applyFill="1" applyBorder="1" applyAlignment="1">
      <alignment horizontal="left" vertical="center" wrapText="1"/>
    </xf>
    <xf numFmtId="166" fontId="0" fillId="7" borderId="15" xfId="0" applyNumberFormat="1" applyFill="1" applyBorder="1" applyAlignment="1">
      <alignment horizontal="center" vertical="center"/>
    </xf>
    <xf numFmtId="0" fontId="24" fillId="3" borderId="14" xfId="0" applyFont="1" applyFill="1" applyBorder="1" applyAlignment="1">
      <alignment horizontal="left" vertical="center" wrapText="1"/>
    </xf>
    <xf numFmtId="0" fontId="24" fillId="4" borderId="14" xfId="0" applyFont="1" applyFill="1" applyBorder="1" applyAlignment="1">
      <alignment horizontal="left" vertical="center" wrapText="1"/>
    </xf>
    <xf numFmtId="0" fontId="24" fillId="5" borderId="28" xfId="0" applyFont="1" applyFill="1" applyBorder="1" applyAlignment="1">
      <alignment horizontal="left" vertical="center" wrapText="1"/>
    </xf>
    <xf numFmtId="0" fontId="25" fillId="5" borderId="28" xfId="0" applyFont="1" applyFill="1" applyBorder="1" applyAlignment="1">
      <alignment vertical="top" wrapText="1"/>
    </xf>
    <xf numFmtId="0" fontId="7" fillId="0" borderId="28" xfId="0" applyFont="1" applyBorder="1" applyAlignment="1">
      <alignment horizontal="left" vertical="top" wrapText="1"/>
    </xf>
    <xf numFmtId="164" fontId="0" fillId="0" borderId="5" xfId="0" applyNumberFormat="1" applyBorder="1" applyAlignment="1">
      <alignment horizontal="center"/>
    </xf>
    <xf numFmtId="166" fontId="0" fillId="0" borderId="43" xfId="0" applyNumberFormat="1" applyBorder="1" applyAlignment="1">
      <alignment horizontal="center"/>
    </xf>
    <xf numFmtId="0" fontId="0" fillId="0" borderId="5" xfId="0" applyBorder="1"/>
    <xf numFmtId="165" fontId="0" fillId="0" borderId="0" xfId="0" applyNumberFormat="1"/>
    <xf numFmtId="167" fontId="0" fillId="0" borderId="0" xfId="0" applyNumberFormat="1"/>
    <xf numFmtId="167" fontId="0" fillId="0" borderId="7" xfId="0" applyNumberFormat="1" applyBorder="1"/>
    <xf numFmtId="167" fontId="0" fillId="0" borderId="4" xfId="0" applyNumberFormat="1" applyBorder="1"/>
    <xf numFmtId="167" fontId="0" fillId="0" borderId="8" xfId="0" applyNumberFormat="1" applyBorder="1"/>
    <xf numFmtId="0" fontId="0" fillId="0" borderId="9" xfId="0" applyBorder="1"/>
    <xf numFmtId="167" fontId="0" fillId="0" borderId="5" xfId="0" applyNumberFormat="1" applyBorder="1"/>
    <xf numFmtId="167" fontId="0" fillId="0" borderId="9" xfId="0" applyNumberFormat="1" applyBorder="1"/>
    <xf numFmtId="1" fontId="0" fillId="0" borderId="5" xfId="0" applyNumberFormat="1" applyBorder="1"/>
    <xf numFmtId="169" fontId="0" fillId="0" borderId="6" xfId="0" applyNumberFormat="1" applyBorder="1"/>
    <xf numFmtId="169" fontId="0" fillId="0" borderId="4" xfId="0" applyNumberFormat="1" applyBorder="1"/>
    <xf numFmtId="1" fontId="0" fillId="0" borderId="4" xfId="0" applyNumberFormat="1" applyBorder="1"/>
    <xf numFmtId="1" fontId="0" fillId="0" borderId="7" xfId="0" applyNumberFormat="1" applyBorder="1"/>
    <xf numFmtId="1" fontId="32" fillId="0" borderId="42" xfId="0" applyNumberFormat="1" applyFont="1" applyBorder="1"/>
    <xf numFmtId="1" fontId="32" fillId="0" borderId="43" xfId="0" applyNumberFormat="1" applyFont="1" applyBorder="1"/>
    <xf numFmtId="165" fontId="32" fillId="0" borderId="43" xfId="0" applyNumberFormat="1" applyFont="1" applyBorder="1"/>
    <xf numFmtId="165" fontId="32" fillId="0" borderId="41" xfId="0" applyNumberFormat="1" applyFont="1" applyBorder="1"/>
    <xf numFmtId="0" fontId="10" fillId="0" borderId="20" xfId="0" applyFon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 vertical="top"/>
    </xf>
    <xf numFmtId="164" fontId="0" fillId="0" borderId="17" xfId="0" applyNumberFormat="1" applyBorder="1" applyAlignment="1">
      <alignment horizontal="center" vertical="top"/>
    </xf>
    <xf numFmtId="164" fontId="6" fillId="0" borderId="6" xfId="0" applyNumberFormat="1" applyFont="1" applyFill="1" applyBorder="1" applyAlignment="1">
      <alignment horizontal="center" vertical="center"/>
    </xf>
    <xf numFmtId="164" fontId="3" fillId="8" borderId="7" xfId="0" applyNumberFormat="1" applyFont="1" applyFill="1" applyBorder="1" applyAlignment="1">
      <alignment horizontal="center" vertical="center"/>
    </xf>
    <xf numFmtId="164" fontId="4" fillId="0" borderId="42" xfId="0" applyNumberFormat="1" applyFont="1" applyFill="1" applyBorder="1" applyAlignment="1">
      <alignment horizontal="center" vertical="center"/>
    </xf>
    <xf numFmtId="164" fontId="15" fillId="0" borderId="4" xfId="0" applyNumberFormat="1" applyFont="1" applyFill="1" applyBorder="1" applyAlignment="1">
      <alignment horizontal="center" vertical="center"/>
    </xf>
    <xf numFmtId="164" fontId="3" fillId="8" borderId="5" xfId="0" applyNumberFormat="1" applyFont="1" applyFill="1" applyBorder="1" applyAlignment="1">
      <alignment horizontal="center" vertical="center"/>
    </xf>
    <xf numFmtId="164" fontId="4" fillId="0" borderId="43" xfId="0" applyNumberFormat="1" applyFont="1" applyFill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22" fillId="0" borderId="5" xfId="0" applyNumberFormat="1" applyFont="1" applyFill="1" applyBorder="1" applyAlignment="1">
      <alignment horizontal="center" vertical="center"/>
    </xf>
    <xf numFmtId="164" fontId="13" fillId="7" borderId="5" xfId="0" applyNumberFormat="1" applyFont="1" applyFill="1" applyBorder="1" applyAlignment="1">
      <alignment horizontal="center" vertical="center"/>
    </xf>
    <xf numFmtId="164" fontId="15" fillId="7" borderId="5" xfId="0" applyNumberFormat="1" applyFont="1" applyFill="1" applyBorder="1" applyAlignment="1">
      <alignment horizontal="center" vertical="center"/>
    </xf>
    <xf numFmtId="164" fontId="0" fillId="7" borderId="4" xfId="0" applyNumberFormat="1" applyFill="1" applyBorder="1" applyAlignment="1">
      <alignment horizontal="center"/>
    </xf>
    <xf numFmtId="164" fontId="0" fillId="7" borderId="5" xfId="0" applyNumberFormat="1" applyFill="1" applyBorder="1" applyAlignment="1">
      <alignment horizontal="center"/>
    </xf>
    <xf numFmtId="164" fontId="0" fillId="0" borderId="4" xfId="0" applyNumberFormat="1" applyBorder="1" applyAlignment="1">
      <alignment horizontal="center" vertical="top"/>
    </xf>
    <xf numFmtId="164" fontId="0" fillId="7" borderId="5" xfId="0" applyNumberFormat="1" applyFill="1" applyBorder="1" applyAlignment="1">
      <alignment horizontal="center" vertical="top"/>
    </xf>
    <xf numFmtId="164" fontId="0" fillId="0" borderId="5" xfId="0" applyNumberFormat="1" applyBorder="1" applyAlignment="1">
      <alignment horizontal="center" vertical="top"/>
    </xf>
    <xf numFmtId="164" fontId="0" fillId="7" borderId="4" xfId="0" applyNumberFormat="1" applyFill="1" applyBorder="1" applyAlignment="1">
      <alignment horizontal="center" vertical="top"/>
    </xf>
    <xf numFmtId="164" fontId="0" fillId="0" borderId="4" xfId="0" applyNumberFormat="1" applyFill="1" applyBorder="1" applyAlignment="1">
      <alignment horizontal="center" vertical="top"/>
    </xf>
    <xf numFmtId="164" fontId="3" fillId="7" borderId="5" xfId="0" applyNumberFormat="1" applyFont="1" applyFill="1" applyBorder="1" applyAlignment="1">
      <alignment horizontal="center" vertical="top"/>
    </xf>
    <xf numFmtId="164" fontId="3" fillId="0" borderId="5" xfId="0" applyNumberFormat="1" applyFont="1" applyBorder="1" applyAlignment="1">
      <alignment horizontal="center" vertical="top"/>
    </xf>
    <xf numFmtId="164" fontId="0" fillId="0" borderId="5" xfId="0" applyNumberFormat="1" applyFill="1" applyBorder="1" applyAlignment="1">
      <alignment horizontal="center" vertical="top"/>
    </xf>
    <xf numFmtId="164" fontId="0" fillId="0" borderId="8" xfId="0" applyNumberFormat="1" applyBorder="1" applyAlignment="1">
      <alignment horizontal="center" vertical="top"/>
    </xf>
    <xf numFmtId="164" fontId="0" fillId="0" borderId="9" xfId="0" applyNumberFormat="1" applyBorder="1" applyAlignment="1">
      <alignment horizontal="center" vertical="top"/>
    </xf>
    <xf numFmtId="166" fontId="4" fillId="0" borderId="43" xfId="0" applyNumberFormat="1" applyFont="1" applyFill="1" applyBorder="1" applyAlignment="1">
      <alignment horizontal="center" vertical="center"/>
    </xf>
    <xf numFmtId="166" fontId="3" fillId="0" borderId="43" xfId="0" applyNumberFormat="1" applyFont="1" applyFill="1" applyBorder="1" applyAlignment="1">
      <alignment horizontal="center" vertical="center"/>
    </xf>
    <xf numFmtId="166" fontId="0" fillId="0" borderId="43" xfId="0" applyNumberFormat="1" applyBorder="1" applyAlignment="1">
      <alignment horizontal="center" vertical="top"/>
    </xf>
    <xf numFmtId="166" fontId="0" fillId="7" borderId="43" xfId="0" applyNumberFormat="1" applyFill="1" applyBorder="1" applyAlignment="1">
      <alignment horizontal="center" vertical="top"/>
    </xf>
    <xf numFmtId="166" fontId="0" fillId="0" borderId="41" xfId="0" applyNumberFormat="1" applyBorder="1" applyAlignment="1">
      <alignment horizontal="center" vertical="top"/>
    </xf>
    <xf numFmtId="0" fontId="0" fillId="0" borderId="19" xfId="0" applyBorder="1" applyAlignment="1">
      <alignment horizontal="left" vertical="top"/>
    </xf>
    <xf numFmtId="168" fontId="0" fillId="7" borderId="15" xfId="0" applyNumberFormat="1" applyFill="1" applyBorder="1" applyAlignment="1">
      <alignment horizontal="center" vertical="center"/>
    </xf>
    <xf numFmtId="164" fontId="29" fillId="0" borderId="5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33" fillId="0" borderId="4" xfId="0" applyNumberFormat="1" applyFont="1" applyFill="1" applyBorder="1" applyAlignment="1">
      <alignment horizontal="center" vertical="center"/>
    </xf>
    <xf numFmtId="164" fontId="33" fillId="0" borderId="5" xfId="0" applyNumberFormat="1" applyFont="1" applyFill="1" applyBorder="1" applyAlignment="1">
      <alignment horizontal="center" vertical="center"/>
    </xf>
    <xf numFmtId="164" fontId="33" fillId="0" borderId="15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164" fontId="4" fillId="0" borderId="15" xfId="0" applyNumberFormat="1" applyFont="1" applyFill="1" applyBorder="1" applyAlignment="1">
      <alignment horizontal="center" vertical="center"/>
    </xf>
    <xf numFmtId="164" fontId="6" fillId="0" borderId="35" xfId="0" applyNumberFormat="1" applyFont="1" applyFill="1" applyBorder="1" applyAlignment="1">
      <alignment horizontal="center" vertical="center"/>
    </xf>
    <xf numFmtId="164" fontId="15" fillId="0" borderId="8" xfId="0" applyNumberFormat="1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164" fontId="11" fillId="0" borderId="14" xfId="0" applyNumberFormat="1" applyFont="1" applyFill="1" applyBorder="1" applyAlignment="1">
      <alignment horizontal="center" vertical="center"/>
    </xf>
    <xf numFmtId="164" fontId="17" fillId="0" borderId="5" xfId="0" applyNumberFormat="1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center" vertical="center"/>
    </xf>
    <xf numFmtId="164" fontId="17" fillId="0" borderId="36" xfId="0" applyNumberFormat="1" applyFont="1" applyFill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4" fontId="9" fillId="0" borderId="32" xfId="0" applyNumberFormat="1" applyFont="1" applyBorder="1" applyAlignment="1">
      <alignment horizontal="center" vertical="center"/>
    </xf>
    <xf numFmtId="164" fontId="9" fillId="0" borderId="33" xfId="0" applyNumberFormat="1" applyFont="1" applyBorder="1" applyAlignment="1">
      <alignment horizontal="center" vertical="center"/>
    </xf>
    <xf numFmtId="164" fontId="10" fillId="0" borderId="33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5" fillId="4" borderId="5" xfId="0" applyNumberFormat="1" applyFont="1" applyFill="1" applyBorder="1" applyAlignment="1">
      <alignment horizontal="center" vertical="center"/>
    </xf>
    <xf numFmtId="164" fontId="15" fillId="0" borderId="35" xfId="0" applyNumberFormat="1" applyFont="1" applyFill="1" applyBorder="1" applyAlignment="1">
      <alignment horizontal="center" vertical="center"/>
    </xf>
    <xf numFmtId="164" fontId="29" fillId="0" borderId="36" xfId="0" applyNumberFormat="1" applyFont="1" applyFill="1" applyBorder="1" applyAlignment="1">
      <alignment horizontal="center" vertical="center"/>
    </xf>
    <xf numFmtId="164" fontId="29" fillId="0" borderId="9" xfId="0" applyNumberFormat="1" applyFont="1" applyFill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167" fontId="0" fillId="9" borderId="5" xfId="0" applyNumberFormat="1" applyFill="1" applyBorder="1"/>
    <xf numFmtId="167" fontId="0" fillId="4" borderId="7" xfId="0" applyNumberFormat="1" applyFill="1" applyBorder="1"/>
    <xf numFmtId="167" fontId="0" fillId="4" borderId="5" xfId="0" applyNumberFormat="1" applyFill="1" applyBorder="1"/>
    <xf numFmtId="164" fontId="22" fillId="10" borderId="5" xfId="0" applyNumberFormat="1" applyFont="1" applyFill="1" applyBorder="1" applyAlignment="1">
      <alignment horizontal="center" vertical="center"/>
    </xf>
    <xf numFmtId="164" fontId="0" fillId="10" borderId="33" xfId="0" applyNumberFormat="1" applyFill="1" applyBorder="1" applyAlignment="1">
      <alignment horizontal="center" vertical="center"/>
    </xf>
    <xf numFmtId="164" fontId="0" fillId="10" borderId="5" xfId="0" applyNumberFormat="1" applyFill="1" applyBorder="1" applyAlignment="1">
      <alignment horizontal="center" vertical="center"/>
    </xf>
    <xf numFmtId="164" fontId="22" fillId="10" borderId="33" xfId="0" applyNumberFormat="1" applyFont="1" applyFill="1" applyBorder="1" applyAlignment="1">
      <alignment horizontal="center" vertical="center"/>
    </xf>
    <xf numFmtId="164" fontId="22" fillId="8" borderId="7" xfId="0" applyNumberFormat="1" applyFont="1" applyFill="1" applyBorder="1" applyAlignment="1">
      <alignment horizontal="center" vertical="center"/>
    </xf>
    <xf numFmtId="164" fontId="22" fillId="8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5" fillId="10" borderId="5" xfId="0" applyNumberFormat="1" applyFont="1" applyFill="1" applyBorder="1" applyAlignment="1">
      <alignment horizontal="center" vertical="center"/>
    </xf>
    <xf numFmtId="164" fontId="22" fillId="7" borderId="5" xfId="0" applyNumberFormat="1" applyFont="1" applyFill="1" applyBorder="1" applyAlignment="1">
      <alignment horizontal="center"/>
    </xf>
    <xf numFmtId="164" fontId="22" fillId="7" borderId="5" xfId="0" applyNumberFormat="1" applyFont="1" applyFill="1" applyBorder="1" applyAlignment="1">
      <alignment horizontal="center" vertical="top"/>
    </xf>
    <xf numFmtId="164" fontId="22" fillId="0" borderId="5" xfId="0" applyNumberFormat="1" applyFont="1" applyBorder="1" applyAlignment="1">
      <alignment horizontal="center" vertical="top"/>
    </xf>
    <xf numFmtId="164" fontId="22" fillId="0" borderId="9" xfId="0" applyNumberFormat="1" applyFont="1" applyBorder="1" applyAlignment="1">
      <alignment horizontal="center" vertical="top"/>
    </xf>
    <xf numFmtId="167" fontId="0" fillId="9" borderId="5" xfId="0" applyNumberFormat="1" applyFont="1" applyFill="1" applyBorder="1" applyAlignment="1">
      <alignment horizontal="center" vertical="center"/>
    </xf>
    <xf numFmtId="0" fontId="25" fillId="0" borderId="15" xfId="1" applyFont="1" applyFill="1" applyBorder="1" applyAlignment="1">
      <alignment vertical="top" wrapText="1"/>
    </xf>
    <xf numFmtId="0" fontId="0" fillId="0" borderId="15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16" xfId="0" applyBorder="1" applyAlignment="1">
      <alignment vertical="center" wrapText="1"/>
    </xf>
    <xf numFmtId="0" fontId="34" fillId="0" borderId="5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34" fillId="4" borderId="5" xfId="0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1" fontId="32" fillId="4" borderId="42" xfId="0" applyNumberFormat="1" applyFont="1" applyFill="1" applyBorder="1"/>
    <xf numFmtId="1" fontId="32" fillId="4" borderId="43" xfId="0" applyNumberFormat="1" applyFont="1" applyFill="1" applyBorder="1"/>
    <xf numFmtId="165" fontId="32" fillId="4" borderId="43" xfId="0" applyNumberFormat="1" applyFont="1" applyFill="1" applyBorder="1"/>
    <xf numFmtId="165" fontId="35" fillId="0" borderId="43" xfId="0" applyNumberFormat="1" applyFont="1" applyBorder="1"/>
    <xf numFmtId="164" fontId="0" fillId="4" borderId="6" xfId="0" applyNumberFormat="1" applyFill="1" applyBorder="1"/>
    <xf numFmtId="164" fontId="0" fillId="4" borderId="7" xfId="0" applyNumberFormat="1" applyFill="1" applyBorder="1"/>
    <xf numFmtId="164" fontId="0" fillId="4" borderId="4" xfId="0" applyNumberFormat="1" applyFill="1" applyBorder="1"/>
    <xf numFmtId="164" fontId="0" fillId="4" borderId="5" xfId="0" applyNumberFormat="1" applyFill="1" applyBorder="1"/>
    <xf numFmtId="167" fontId="2" fillId="9" borderId="5" xfId="0" applyNumberFormat="1" applyFont="1" applyFill="1" applyBorder="1" applyAlignment="1">
      <alignment horizontal="center" vertical="center"/>
    </xf>
    <xf numFmtId="164" fontId="22" fillId="0" borderId="4" xfId="0" applyNumberFormat="1" applyFont="1" applyBorder="1"/>
    <xf numFmtId="164" fontId="22" fillId="0" borderId="5" xfId="0" applyNumberFormat="1" applyFont="1" applyBorder="1"/>
    <xf numFmtId="164" fontId="0" fillId="11" borderId="7" xfId="0" applyNumberFormat="1" applyFill="1" applyBorder="1"/>
    <xf numFmtId="164" fontId="0" fillId="11" borderId="4" xfId="0" applyNumberFormat="1" applyFill="1" applyBorder="1"/>
    <xf numFmtId="164" fontId="0" fillId="11" borderId="5" xfId="0" applyNumberFormat="1" applyFill="1" applyBorder="1"/>
    <xf numFmtId="0" fontId="34" fillId="0" borderId="14" xfId="0" applyFont="1" applyBorder="1" applyAlignment="1">
      <alignment horizontal="center" vertical="center" wrapText="1"/>
    </xf>
    <xf numFmtId="0" fontId="25" fillId="0" borderId="16" xfId="0" applyFont="1" applyBorder="1" applyAlignment="1">
      <alignment vertical="top" wrapText="1"/>
    </xf>
    <xf numFmtId="0" fontId="0" fillId="0" borderId="16" xfId="0" applyBorder="1" applyAlignment="1">
      <alignment vertical="center"/>
    </xf>
    <xf numFmtId="0" fontId="7" fillId="4" borderId="17" xfId="1" applyFill="1" applyBorder="1" applyAlignment="1">
      <alignment horizontal="left" vertical="top" wrapText="1"/>
    </xf>
    <xf numFmtId="0" fontId="3" fillId="4" borderId="38" xfId="1" applyFont="1" applyFill="1" applyBorder="1" applyAlignment="1">
      <alignment horizontal="left" vertical="top" wrapText="1"/>
    </xf>
    <xf numFmtId="0" fontId="7" fillId="4" borderId="15" xfId="1" applyFill="1" applyBorder="1" applyAlignment="1">
      <alignment horizontal="left" vertical="top" wrapText="1"/>
    </xf>
    <xf numFmtId="0" fontId="3" fillId="4" borderId="15" xfId="1" applyFont="1" applyFill="1" applyBorder="1" applyAlignment="1">
      <alignment horizontal="left" vertical="top" wrapText="1"/>
    </xf>
    <xf numFmtId="0" fontId="3" fillId="4" borderId="13" xfId="1" applyFont="1" applyFill="1" applyBorder="1" applyAlignment="1">
      <alignment horizontal="left" vertical="top" wrapText="1"/>
    </xf>
    <xf numFmtId="167" fontId="2" fillId="9" borderId="4" xfId="0" applyNumberFormat="1" applyFont="1" applyFill="1" applyBorder="1" applyAlignment="1">
      <alignment horizontal="center" vertical="center"/>
    </xf>
    <xf numFmtId="164" fontId="15" fillId="4" borderId="4" xfId="0" applyNumberFormat="1" applyFont="1" applyFill="1" applyBorder="1" applyAlignment="1">
      <alignment horizontal="center" vertical="center"/>
    </xf>
    <xf numFmtId="164" fontId="29" fillId="4" borderId="5" xfId="0" applyNumberFormat="1" applyFont="1" applyFill="1" applyBorder="1" applyAlignment="1">
      <alignment horizontal="center" vertical="center"/>
    </xf>
    <xf numFmtId="165" fontId="29" fillId="4" borderId="43" xfId="0" applyNumberFormat="1" applyFont="1" applyFill="1" applyBorder="1" applyAlignment="1">
      <alignment horizontal="center" vertical="center"/>
    </xf>
    <xf numFmtId="165" fontId="2" fillId="9" borderId="43" xfId="0" applyNumberFormat="1" applyFont="1" applyFill="1" applyBorder="1" applyAlignment="1">
      <alignment horizontal="center" vertical="center"/>
    </xf>
    <xf numFmtId="165" fontId="29" fillId="0" borderId="44" xfId="0" applyNumberFormat="1" applyFont="1" applyFill="1" applyBorder="1" applyAlignment="1">
      <alignment horizontal="center" vertical="center"/>
    </xf>
    <xf numFmtId="165" fontId="29" fillId="0" borderId="41" xfId="0" applyNumberFormat="1" applyFont="1" applyFill="1" applyBorder="1" applyAlignment="1">
      <alignment horizontal="center" vertical="center"/>
    </xf>
    <xf numFmtId="165" fontId="10" fillId="0" borderId="34" xfId="0" applyNumberFormat="1" applyFont="1" applyBorder="1" applyAlignment="1">
      <alignment horizontal="center" vertical="center"/>
    </xf>
    <xf numFmtId="0" fontId="0" fillId="0" borderId="46" xfId="0" applyBorder="1"/>
    <xf numFmtId="0" fontId="0" fillId="0" borderId="0" xfId="0" applyBorder="1"/>
    <xf numFmtId="0" fontId="36" fillId="0" borderId="15" xfId="0" applyFont="1" applyBorder="1" applyAlignment="1">
      <alignment vertical="center" wrapText="1"/>
    </xf>
    <xf numFmtId="164" fontId="0" fillId="7" borderId="4" xfId="0" applyNumberFormat="1" applyFill="1" applyBorder="1" applyAlignment="1">
      <alignment horizontal="center" vertical="center"/>
    </xf>
    <xf numFmtId="0" fontId="24" fillId="3" borderId="15" xfId="0" applyFont="1" applyFill="1" applyBorder="1" applyAlignment="1">
      <alignment horizontal="left" vertical="center" wrapText="1"/>
    </xf>
    <xf numFmtId="0" fontId="36" fillId="0" borderId="15" xfId="1" applyFont="1" applyBorder="1" applyAlignment="1">
      <alignment horizontal="left" vertical="center" wrapText="1"/>
    </xf>
    <xf numFmtId="0" fontId="1" fillId="0" borderId="15" xfId="1" applyFont="1" applyBorder="1" applyAlignment="1">
      <alignment horizontal="left" vertical="center" wrapText="1"/>
    </xf>
    <xf numFmtId="0" fontId="24" fillId="4" borderId="17" xfId="0" applyFont="1" applyFill="1" applyBorder="1" applyAlignment="1">
      <alignment horizontal="left" vertical="center" wrapText="1"/>
    </xf>
    <xf numFmtId="0" fontId="24" fillId="4" borderId="20" xfId="0" applyFont="1" applyFill="1" applyBorder="1" applyAlignment="1">
      <alignment horizontal="left" vertical="center" wrapText="1"/>
    </xf>
    <xf numFmtId="0" fontId="1" fillId="0" borderId="13" xfId="1" applyFont="1" applyBorder="1" applyAlignment="1">
      <alignment horizontal="left" vertical="center" wrapText="1"/>
    </xf>
    <xf numFmtId="0" fontId="1" fillId="0" borderId="38" xfId="1" applyFont="1" applyBorder="1" applyAlignment="1">
      <alignment horizontal="left" vertical="center" wrapText="1"/>
    </xf>
    <xf numFmtId="0" fontId="1" fillId="0" borderId="11" xfId="1" applyFont="1" applyBorder="1" applyAlignment="1">
      <alignment horizontal="left" vertical="top" wrapText="1"/>
    </xf>
    <xf numFmtId="0" fontId="24" fillId="0" borderId="20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1" fillId="4" borderId="17" xfId="1" applyFont="1" applyFill="1" applyBorder="1" applyAlignment="1">
      <alignment horizontal="left" vertical="center" wrapText="1"/>
    </xf>
    <xf numFmtId="0" fontId="1" fillId="0" borderId="17" xfId="1" applyFont="1" applyBorder="1" applyAlignment="1">
      <alignment horizontal="left" vertical="center" wrapText="1"/>
    </xf>
    <xf numFmtId="0" fontId="25" fillId="5" borderId="38" xfId="0" applyFont="1" applyFill="1" applyBorder="1" applyAlignment="1">
      <alignment vertical="top" wrapText="1"/>
    </xf>
    <xf numFmtId="0" fontId="1" fillId="0" borderId="17" xfId="1" applyFont="1" applyBorder="1" applyAlignment="1">
      <alignment horizontal="left" vertical="top" wrapText="1"/>
    </xf>
    <xf numFmtId="0" fontId="25" fillId="0" borderId="15" xfId="0" applyFont="1" applyBorder="1" applyAlignment="1">
      <alignment vertical="top" wrapText="1"/>
    </xf>
    <xf numFmtId="0" fontId="34" fillId="0" borderId="36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4" borderId="9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top" wrapText="1"/>
    </xf>
    <xf numFmtId="0" fontId="34" fillId="0" borderId="26" xfId="0" applyFont="1" applyBorder="1" applyAlignment="1">
      <alignment horizontal="center" vertical="center" wrapText="1"/>
    </xf>
    <xf numFmtId="164" fontId="11" fillId="4" borderId="5" xfId="0" applyNumberFormat="1" applyFont="1" applyFill="1" applyBorder="1" applyAlignment="1">
      <alignment horizontal="center" vertical="center"/>
    </xf>
    <xf numFmtId="164" fontId="17" fillId="4" borderId="5" xfId="0" applyNumberFormat="1" applyFont="1" applyFill="1" applyBorder="1" applyAlignment="1">
      <alignment horizontal="center" vertical="center"/>
    </xf>
    <xf numFmtId="164" fontId="11" fillId="4" borderId="4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5" xfId="0" applyNumberFormat="1" applyFont="1" applyFill="1" applyBorder="1" applyAlignment="1">
      <alignment horizontal="center" vertical="center"/>
    </xf>
    <xf numFmtId="164" fontId="10" fillId="4" borderId="5" xfId="0" applyNumberFormat="1" applyFont="1" applyFill="1" applyBorder="1" applyAlignment="1">
      <alignment horizontal="center" vertical="center"/>
    </xf>
    <xf numFmtId="165" fontId="10" fillId="4" borderId="43" xfId="0" applyNumberFormat="1" applyFont="1" applyFill="1" applyBorder="1" applyAlignment="1">
      <alignment horizontal="center" vertical="center"/>
    </xf>
    <xf numFmtId="164" fontId="0" fillId="4" borderId="5" xfId="0" applyNumberFormat="1" applyFont="1" applyFill="1" applyBorder="1" applyAlignment="1">
      <alignment horizontal="center" vertical="center"/>
    </xf>
    <xf numFmtId="164" fontId="11" fillId="4" borderId="6" xfId="0" applyNumberFormat="1" applyFont="1" applyFill="1" applyBorder="1" applyAlignment="1">
      <alignment horizontal="center" vertical="center"/>
    </xf>
    <xf numFmtId="164" fontId="11" fillId="4" borderId="7" xfId="0" applyNumberFormat="1" applyFont="1" applyFill="1" applyBorder="1" applyAlignment="1">
      <alignment horizontal="center" vertical="center"/>
    </xf>
    <xf numFmtId="164" fontId="17" fillId="4" borderId="7" xfId="0" applyNumberFormat="1" applyFont="1" applyFill="1" applyBorder="1" applyAlignment="1">
      <alignment horizontal="center" vertical="center"/>
    </xf>
    <xf numFmtId="165" fontId="11" fillId="4" borderId="42" xfId="0" applyNumberFormat="1" applyFont="1" applyFill="1" applyBorder="1" applyAlignment="1">
      <alignment horizontal="center" vertical="center"/>
    </xf>
    <xf numFmtId="165" fontId="11" fillId="4" borderId="43" xfId="0" applyNumberFormat="1" applyFont="1" applyFill="1" applyBorder="1" applyAlignment="1">
      <alignment horizontal="center" vertical="center"/>
    </xf>
    <xf numFmtId="164" fontId="0" fillId="4" borderId="4" xfId="0" applyNumberFormat="1" applyFont="1" applyFill="1" applyBorder="1" applyAlignment="1">
      <alignment horizontal="center" vertical="center"/>
    </xf>
    <xf numFmtId="165" fontId="0" fillId="4" borderId="43" xfId="0" applyNumberFormat="1" applyFont="1" applyFill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5" fontId="0" fillId="4" borderId="43" xfId="0" applyNumberFormat="1" applyFill="1" applyBorder="1" applyAlignment="1">
      <alignment horizontal="center"/>
    </xf>
    <xf numFmtId="165" fontId="0" fillId="4" borderId="43" xfId="0" applyNumberFormat="1" applyFill="1" applyBorder="1"/>
    <xf numFmtId="164" fontId="0" fillId="4" borderId="8" xfId="0" applyNumberFormat="1" applyFill="1" applyBorder="1"/>
    <xf numFmtId="164" fontId="0" fillId="4" borderId="9" xfId="0" applyNumberFormat="1" applyFill="1" applyBorder="1"/>
    <xf numFmtId="165" fontId="0" fillId="4" borderId="41" xfId="0" applyNumberFormat="1" applyFill="1" applyBorder="1"/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0" fillId="4" borderId="43" xfId="0" applyFill="1" applyBorder="1"/>
    <xf numFmtId="165" fontId="0" fillId="0" borderId="43" xfId="0" applyNumberFormat="1" applyBorder="1"/>
    <xf numFmtId="165" fontId="0" fillId="0" borderId="44" xfId="0" applyNumberFormat="1" applyBorder="1"/>
    <xf numFmtId="165" fontId="0" fillId="0" borderId="42" xfId="0" applyNumberFormat="1" applyBorder="1"/>
    <xf numFmtId="165" fontId="0" fillId="0" borderId="41" xfId="0" applyNumberFormat="1" applyBorder="1"/>
    <xf numFmtId="165" fontId="0" fillId="0" borderId="34" xfId="0" applyNumberFormat="1" applyBorder="1"/>
    <xf numFmtId="0" fontId="25" fillId="0" borderId="40" xfId="0" applyFont="1" applyBorder="1" applyAlignment="1">
      <alignment horizontal="left" vertical="center" wrapText="1"/>
    </xf>
    <xf numFmtId="166" fontId="0" fillId="0" borderId="0" xfId="0" applyNumberFormat="1"/>
    <xf numFmtId="164" fontId="0" fillId="0" borderId="4" xfId="0" applyNumberFormat="1" applyBorder="1" applyAlignment="1">
      <alignment horizontal="center"/>
    </xf>
    <xf numFmtId="164" fontId="22" fillId="0" borderId="5" xfId="0" applyNumberFormat="1" applyFon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22" fillId="0" borderId="36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22" fillId="0" borderId="7" xfId="0" applyNumberFormat="1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22" fillId="0" borderId="9" xfId="0" applyNumberFormat="1" applyFon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164" fontId="22" fillId="0" borderId="33" xfId="0" applyNumberFormat="1" applyFont="1" applyBorder="1" applyAlignment="1">
      <alignment horizontal="center"/>
    </xf>
    <xf numFmtId="164" fontId="9" fillId="6" borderId="5" xfId="0" applyNumberFormat="1" applyFont="1" applyFill="1" applyBorder="1" applyAlignment="1">
      <alignment horizontal="center" vertical="center"/>
    </xf>
    <xf numFmtId="164" fontId="0" fillId="6" borderId="5" xfId="0" applyNumberFormat="1" applyFill="1" applyBorder="1" applyAlignment="1">
      <alignment horizontal="center"/>
    </xf>
    <xf numFmtId="164" fontId="0" fillId="6" borderId="36" xfId="0" applyNumberFormat="1" applyFill="1" applyBorder="1" applyAlignment="1">
      <alignment horizontal="center"/>
    </xf>
    <xf numFmtId="164" fontId="0" fillId="6" borderId="7" xfId="0" applyNumberFormat="1" applyFill="1" applyBorder="1" applyAlignment="1">
      <alignment horizontal="center"/>
    </xf>
    <xf numFmtId="164" fontId="0" fillId="6" borderId="33" xfId="0" applyNumberFormat="1" applyFill="1" applyBorder="1" applyAlignment="1">
      <alignment horizontal="center"/>
    </xf>
    <xf numFmtId="164" fontId="0" fillId="6" borderId="9" xfId="0" applyNumberFormat="1" applyFill="1" applyBorder="1" applyAlignment="1">
      <alignment horizontal="center"/>
    </xf>
    <xf numFmtId="164" fontId="0" fillId="6" borderId="4" xfId="0" applyNumberFormat="1" applyFill="1" applyBorder="1" applyAlignment="1">
      <alignment horizontal="center"/>
    </xf>
    <xf numFmtId="164" fontId="22" fillId="6" borderId="5" xfId="0" applyNumberFormat="1" applyFont="1" applyFill="1" applyBorder="1" applyAlignment="1">
      <alignment horizontal="center"/>
    </xf>
    <xf numFmtId="164" fontId="0" fillId="6" borderId="32" xfId="0" applyNumberFormat="1" applyFill="1" applyBorder="1" applyAlignment="1">
      <alignment horizontal="center"/>
    </xf>
    <xf numFmtId="164" fontId="22" fillId="6" borderId="33" xfId="0" applyNumberFormat="1" applyFont="1" applyFill="1" applyBorder="1" applyAlignment="1">
      <alignment horizontal="center"/>
    </xf>
    <xf numFmtId="165" fontId="0" fillId="6" borderId="43" xfId="0" applyNumberFormat="1" applyFill="1" applyBorder="1"/>
    <xf numFmtId="165" fontId="0" fillId="6" borderId="34" xfId="0" applyNumberFormat="1" applyFill="1" applyBorder="1"/>
    <xf numFmtId="164" fontId="22" fillId="6" borderId="36" xfId="0" applyNumberFormat="1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164" fontId="11" fillId="6" borderId="5" xfId="0" applyNumberFormat="1" applyFont="1" applyFill="1" applyBorder="1" applyAlignment="1">
      <alignment horizontal="center" vertical="center"/>
    </xf>
    <xf numFmtId="164" fontId="17" fillId="6" borderId="5" xfId="0" applyNumberFormat="1" applyFont="1" applyFill="1" applyBorder="1" applyAlignment="1">
      <alignment horizontal="center" vertical="center"/>
    </xf>
    <xf numFmtId="164" fontId="11" fillId="6" borderId="4" xfId="0" applyNumberFormat="1" applyFont="1" applyFill="1" applyBorder="1" applyAlignment="1">
      <alignment horizontal="center" vertical="center"/>
    </xf>
    <xf numFmtId="164" fontId="0" fillId="6" borderId="5" xfId="0" applyNumberFormat="1" applyFill="1" applyBorder="1"/>
    <xf numFmtId="0" fontId="7" fillId="4" borderId="5" xfId="0" applyFont="1" applyFill="1" applyBorder="1" applyAlignment="1">
      <alignment horizontal="center" vertical="center" wrapText="1"/>
    </xf>
    <xf numFmtId="164" fontId="0" fillId="6" borderId="4" xfId="0" applyNumberFormat="1" applyFill="1" applyBorder="1"/>
    <xf numFmtId="0" fontId="0" fillId="0" borderId="46" xfId="0" applyBorder="1" applyAlignment="1">
      <alignment horizontal="left" vertical="top"/>
    </xf>
  </cellXfs>
  <cellStyles count="2">
    <cellStyle name="Normální" xfId="0" builtinId="0"/>
    <cellStyle name="normální 2" xfId="1" xr:uid="{E2030E2E-D70A-4631-8966-B7A5C8322920}"/>
  </cellStyles>
  <dxfs count="0"/>
  <tableStyles count="0" defaultTableStyle="TableStyleMedium2" defaultPivotStyle="PivotStyleLight16"/>
  <colors>
    <mruColors>
      <color rgb="FFFFF7E1"/>
      <color rgb="FFFFF8E5"/>
      <color rgb="FFFFF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BA508-AE70-4AD1-ABBB-CEA3AA1B2E55}">
  <dimension ref="A1:Q26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I9" sqref="I9"/>
    </sheetView>
  </sheetViews>
  <sheetFormatPr defaultRowHeight="14.5" x14ac:dyDescent="0.35"/>
  <cols>
    <col min="1" max="1" width="5.6328125" customWidth="1"/>
    <col min="2" max="2" width="13.54296875" customWidth="1"/>
    <col min="3" max="3" width="33.6328125" customWidth="1"/>
    <col min="4" max="4" width="12" customWidth="1"/>
    <col min="5" max="5" width="11" customWidth="1"/>
    <col min="6" max="6" width="10" bestFit="1" customWidth="1"/>
    <col min="7" max="7" width="9.36328125" bestFit="1" customWidth="1"/>
    <col min="8" max="8" width="12" customWidth="1"/>
    <col min="9" max="9" width="8.36328125" customWidth="1"/>
    <col min="10" max="10" width="3.08984375" customWidth="1"/>
    <col min="12" max="12" width="9.54296875" bestFit="1" customWidth="1"/>
    <col min="17" max="17" width="16.90625" customWidth="1"/>
  </cols>
  <sheetData>
    <row r="1" spans="1:17" ht="15.5" x14ac:dyDescent="0.35">
      <c r="A1" s="9" t="s">
        <v>151</v>
      </c>
    </row>
    <row r="2" spans="1:17" ht="15" thickBot="1" x14ac:dyDescent="0.4">
      <c r="A2" s="10" t="s">
        <v>8</v>
      </c>
      <c r="D2" t="s">
        <v>130</v>
      </c>
    </row>
    <row r="3" spans="1:17" ht="39.5" thickBot="1" x14ac:dyDescent="0.4">
      <c r="A3" s="1" t="s">
        <v>0</v>
      </c>
      <c r="B3" s="2" t="s">
        <v>9</v>
      </c>
      <c r="C3" s="30" t="s">
        <v>1</v>
      </c>
      <c r="D3" s="11" t="s">
        <v>2</v>
      </c>
      <c r="E3" s="12" t="s">
        <v>3</v>
      </c>
      <c r="F3" s="12" t="s">
        <v>4</v>
      </c>
      <c r="G3" s="13" t="s">
        <v>5</v>
      </c>
      <c r="H3" s="14" t="s">
        <v>6</v>
      </c>
      <c r="I3" s="15" t="s">
        <v>7</v>
      </c>
      <c r="J3" s="310"/>
      <c r="K3" s="311"/>
    </row>
    <row r="4" spans="1:17" ht="29" x14ac:dyDescent="0.35">
      <c r="A4" s="22">
        <v>7065</v>
      </c>
      <c r="B4" s="133">
        <v>70886091</v>
      </c>
      <c r="C4" s="104" t="s">
        <v>131</v>
      </c>
      <c r="D4" s="284">
        <v>0</v>
      </c>
      <c r="E4" s="285">
        <v>21.6</v>
      </c>
      <c r="F4" s="291">
        <f>7.301-7.301</f>
        <v>0</v>
      </c>
      <c r="G4" s="285">
        <v>0</v>
      </c>
      <c r="H4" s="291">
        <f>28.901-7.301</f>
        <v>21.6</v>
      </c>
      <c r="I4" s="280">
        <v>0</v>
      </c>
      <c r="J4" s="310"/>
      <c r="K4" s="311"/>
      <c r="L4" s="174"/>
      <c r="M4" s="174"/>
      <c r="N4" s="174"/>
      <c r="O4" s="174"/>
      <c r="P4" s="174"/>
      <c r="Q4" s="174"/>
    </row>
    <row r="5" spans="1:17" x14ac:dyDescent="0.35">
      <c r="A5" s="22">
        <v>7066</v>
      </c>
      <c r="B5" s="131">
        <v>62692755</v>
      </c>
      <c r="C5" s="273" t="s">
        <v>39</v>
      </c>
      <c r="D5" s="286">
        <v>0</v>
      </c>
      <c r="E5" s="287">
        <v>39</v>
      </c>
      <c r="F5" s="287">
        <v>13.182</v>
      </c>
      <c r="G5" s="287">
        <v>0</v>
      </c>
      <c r="H5" s="287">
        <v>52.182000000000002</v>
      </c>
      <c r="I5" s="281">
        <v>0</v>
      </c>
      <c r="J5" s="310"/>
      <c r="K5" s="311"/>
      <c r="L5" s="174"/>
      <c r="M5" s="174"/>
      <c r="N5" s="174"/>
      <c r="O5" s="174"/>
      <c r="P5" s="174"/>
    </row>
    <row r="6" spans="1:17" x14ac:dyDescent="0.35">
      <c r="A6" s="276">
        <v>7073</v>
      </c>
      <c r="B6" s="277">
        <v>70986126</v>
      </c>
      <c r="C6" s="273" t="s">
        <v>132</v>
      </c>
      <c r="D6" s="292">
        <f>21.6-5.782</f>
        <v>15.818000000000001</v>
      </c>
      <c r="E6" s="287">
        <v>0</v>
      </c>
      <c r="F6" s="293">
        <f>7.301-1.954</f>
        <v>5.3470000000000004</v>
      </c>
      <c r="G6" s="293">
        <f>0.432-0.116</f>
        <v>0.316</v>
      </c>
      <c r="H6" s="293">
        <f>29.333-7.852</f>
        <v>21.480999999999998</v>
      </c>
      <c r="I6" s="282">
        <v>4.5499999999999999E-2</v>
      </c>
      <c r="J6" s="310"/>
      <c r="K6" s="311"/>
      <c r="L6" s="174"/>
      <c r="M6" s="174"/>
      <c r="N6" s="174"/>
      <c r="O6" s="174"/>
      <c r="P6" s="174"/>
    </row>
    <row r="7" spans="1:17" x14ac:dyDescent="0.35">
      <c r="A7" s="22">
        <v>7074</v>
      </c>
      <c r="B7" s="133">
        <v>62695398</v>
      </c>
      <c r="C7" s="273" t="s">
        <v>133</v>
      </c>
      <c r="D7" s="286">
        <v>0</v>
      </c>
      <c r="E7" s="287">
        <v>40</v>
      </c>
      <c r="F7" s="293">
        <f>13.52-13.52</f>
        <v>0</v>
      </c>
      <c r="G7" s="287">
        <v>0</v>
      </c>
      <c r="H7" s="293">
        <f>53.52-13.52</f>
        <v>40</v>
      </c>
      <c r="I7" s="281">
        <v>0</v>
      </c>
      <c r="J7" s="310"/>
      <c r="K7" s="311"/>
      <c r="L7" s="174"/>
      <c r="M7" s="174"/>
      <c r="N7" s="174"/>
      <c r="O7" s="174"/>
      <c r="P7" s="174"/>
    </row>
    <row r="8" spans="1:17" x14ac:dyDescent="0.35">
      <c r="A8" s="294">
        <v>7084</v>
      </c>
      <c r="B8" s="146">
        <v>62690957</v>
      </c>
      <c r="C8" s="312" t="s">
        <v>148</v>
      </c>
      <c r="D8" s="286">
        <v>4.5</v>
      </c>
      <c r="E8" s="287">
        <v>0</v>
      </c>
      <c r="F8" s="287">
        <v>1.5209999999999999</v>
      </c>
      <c r="G8" s="287">
        <v>0.09</v>
      </c>
      <c r="H8" s="287">
        <v>6.1109999999999998</v>
      </c>
      <c r="I8" s="281">
        <v>0</v>
      </c>
      <c r="J8" s="310"/>
      <c r="K8" s="311"/>
      <c r="L8" s="174"/>
      <c r="M8" s="174"/>
      <c r="N8" s="174"/>
      <c r="O8" s="174"/>
      <c r="P8" s="174"/>
    </row>
    <row r="9" spans="1:17" x14ac:dyDescent="0.35">
      <c r="A9" s="172">
        <v>7248</v>
      </c>
      <c r="B9" s="277">
        <v>70886822</v>
      </c>
      <c r="C9" s="273" t="s">
        <v>134</v>
      </c>
      <c r="D9" s="292">
        <f>48-8.601</f>
        <v>39.399000000000001</v>
      </c>
      <c r="E9" s="293">
        <f>24-6.75</f>
        <v>17.25</v>
      </c>
      <c r="F9" s="293">
        <f>24.336-11.019</f>
        <v>13.316999999999998</v>
      </c>
      <c r="G9" s="293">
        <f>0.96-0.172</f>
        <v>0.78800000000000003</v>
      </c>
      <c r="H9" s="293">
        <f>97.296-26.542</f>
        <v>70.754000000000005</v>
      </c>
      <c r="I9" s="281">
        <v>0</v>
      </c>
      <c r="J9" s="310"/>
      <c r="K9" s="311"/>
      <c r="L9" s="174"/>
      <c r="M9" s="174"/>
      <c r="N9" s="174"/>
      <c r="O9" s="174"/>
      <c r="P9" s="174"/>
    </row>
    <row r="10" spans="1:17" x14ac:dyDescent="0.35">
      <c r="A10" s="276">
        <v>7251</v>
      </c>
      <c r="B10" s="277">
        <v>70886784</v>
      </c>
      <c r="C10" s="274" t="s">
        <v>135</v>
      </c>
      <c r="D10" s="286">
        <v>0</v>
      </c>
      <c r="E10" s="287">
        <v>12</v>
      </c>
      <c r="F10" s="293">
        <f>4.056-4.056</f>
        <v>0</v>
      </c>
      <c r="G10" s="287">
        <v>0</v>
      </c>
      <c r="H10" s="293">
        <f>16.056-4.056</f>
        <v>12</v>
      </c>
      <c r="I10" s="281">
        <v>0</v>
      </c>
      <c r="J10" s="310"/>
      <c r="K10" s="311"/>
      <c r="L10" s="174"/>
      <c r="M10" s="174"/>
      <c r="N10" s="174"/>
      <c r="O10" s="174"/>
      <c r="P10" s="174"/>
    </row>
    <row r="11" spans="1:17" x14ac:dyDescent="0.35">
      <c r="A11" s="276">
        <v>7253</v>
      </c>
      <c r="B11" s="277">
        <v>70879150</v>
      </c>
      <c r="C11" s="273" t="s">
        <v>136</v>
      </c>
      <c r="D11" s="286">
        <v>0</v>
      </c>
      <c r="E11" s="287">
        <v>24</v>
      </c>
      <c r="F11" s="293">
        <f>8.112-8.112</f>
        <v>0</v>
      </c>
      <c r="G11" s="287">
        <v>0</v>
      </c>
      <c r="H11" s="293">
        <f>32.112-8.112</f>
        <v>24</v>
      </c>
      <c r="I11" s="281">
        <v>0</v>
      </c>
      <c r="J11" s="310"/>
      <c r="K11" s="311"/>
      <c r="L11" s="174"/>
      <c r="M11" s="174"/>
      <c r="N11" s="174"/>
      <c r="O11" s="174"/>
      <c r="P11" s="174"/>
    </row>
    <row r="12" spans="1:17" x14ac:dyDescent="0.35">
      <c r="A12" s="276">
        <v>7404</v>
      </c>
      <c r="B12" s="277">
        <v>48623008</v>
      </c>
      <c r="C12" s="104" t="s">
        <v>146</v>
      </c>
      <c r="D12" s="286">
        <v>21.6</v>
      </c>
      <c r="E12" s="287">
        <v>0</v>
      </c>
      <c r="F12" s="287">
        <v>7.3010000000000002</v>
      </c>
      <c r="G12" s="287">
        <v>0.432</v>
      </c>
      <c r="H12" s="287">
        <v>29.332999999999998</v>
      </c>
      <c r="I12" s="282">
        <v>4.5499999999999999E-2</v>
      </c>
      <c r="J12" s="310"/>
      <c r="K12" s="311"/>
      <c r="L12" s="174"/>
      <c r="M12" s="174"/>
      <c r="N12" s="174"/>
      <c r="O12" s="174"/>
      <c r="P12" s="174"/>
    </row>
    <row r="13" spans="1:17" ht="29" x14ac:dyDescent="0.35">
      <c r="A13" s="278">
        <v>7467</v>
      </c>
      <c r="B13" s="277">
        <v>857611</v>
      </c>
      <c r="C13" s="104" t="s">
        <v>145</v>
      </c>
      <c r="D13" s="286">
        <v>36.81</v>
      </c>
      <c r="E13" s="287">
        <v>0</v>
      </c>
      <c r="F13" s="287">
        <v>12.442</v>
      </c>
      <c r="G13" s="287">
        <v>0.73599999999999999</v>
      </c>
      <c r="H13" s="287">
        <v>49.988</v>
      </c>
      <c r="I13" s="282">
        <v>0.125</v>
      </c>
      <c r="J13" s="310"/>
      <c r="K13" s="311"/>
      <c r="L13" s="174"/>
      <c r="M13" s="174"/>
      <c r="N13" s="174"/>
      <c r="O13" s="174"/>
      <c r="P13" s="174"/>
    </row>
    <row r="14" spans="1:17" ht="29" x14ac:dyDescent="0.35">
      <c r="A14" s="276">
        <v>7500</v>
      </c>
      <c r="B14" s="277">
        <v>857688</v>
      </c>
      <c r="C14" s="103" t="s">
        <v>137</v>
      </c>
      <c r="D14" s="286">
        <v>18.600000000000001</v>
      </c>
      <c r="E14" s="287">
        <v>0</v>
      </c>
      <c r="F14" s="287">
        <v>6.2869999999999999</v>
      </c>
      <c r="G14" s="287">
        <v>0.372</v>
      </c>
      <c r="H14" s="287">
        <v>25.259</v>
      </c>
      <c r="I14" s="282">
        <v>4.5499999999999999E-2</v>
      </c>
      <c r="J14" s="310"/>
      <c r="K14" s="311"/>
      <c r="L14" s="174"/>
      <c r="M14" s="174"/>
      <c r="N14" s="174"/>
      <c r="O14" s="174"/>
      <c r="P14" s="174"/>
    </row>
    <row r="15" spans="1:17" ht="29" x14ac:dyDescent="0.35">
      <c r="A15" s="276">
        <v>7614</v>
      </c>
      <c r="B15" s="277">
        <v>75017571</v>
      </c>
      <c r="C15" s="104" t="s">
        <v>138</v>
      </c>
      <c r="D15" s="286">
        <v>0</v>
      </c>
      <c r="E15" s="293">
        <f>48.7-34.3</f>
        <v>14.400000000000006</v>
      </c>
      <c r="F15" s="293">
        <f>16.461-16.461</f>
        <v>0</v>
      </c>
      <c r="G15" s="287">
        <v>0</v>
      </c>
      <c r="H15" s="293">
        <f>65.161-50.761</f>
        <v>14.399999999999999</v>
      </c>
      <c r="I15" s="281">
        <v>0</v>
      </c>
      <c r="J15" s="310"/>
      <c r="K15" s="311"/>
      <c r="L15" s="174"/>
      <c r="M15" s="174"/>
      <c r="N15" s="174"/>
      <c r="O15" s="174"/>
      <c r="P15" s="174"/>
    </row>
    <row r="16" spans="1:17" ht="29" x14ac:dyDescent="0.35">
      <c r="A16" s="276">
        <v>7627</v>
      </c>
      <c r="B16" s="277">
        <v>70157332</v>
      </c>
      <c r="C16" s="104" t="s">
        <v>139</v>
      </c>
      <c r="D16" s="286">
        <v>144</v>
      </c>
      <c r="E16" s="287">
        <v>0</v>
      </c>
      <c r="F16" s="287">
        <v>48.671999999999997</v>
      </c>
      <c r="G16" s="287">
        <v>2.88</v>
      </c>
      <c r="H16" s="287">
        <v>195.55199999999999</v>
      </c>
      <c r="I16" s="281">
        <v>0</v>
      </c>
      <c r="J16" s="310"/>
      <c r="K16" s="311"/>
      <c r="L16" s="174"/>
      <c r="M16" s="174"/>
      <c r="N16" s="174"/>
      <c r="O16" s="174"/>
      <c r="P16" s="174"/>
    </row>
    <row r="17" spans="1:16" ht="29" x14ac:dyDescent="0.35">
      <c r="A17" s="276">
        <v>7653</v>
      </c>
      <c r="B17" s="277">
        <v>75015498</v>
      </c>
      <c r="C17" s="104" t="s">
        <v>141</v>
      </c>
      <c r="D17" s="286">
        <v>0</v>
      </c>
      <c r="E17" s="287">
        <v>10</v>
      </c>
      <c r="F17" s="287">
        <v>0</v>
      </c>
      <c r="G17" s="287">
        <v>0</v>
      </c>
      <c r="H17" s="287">
        <v>10</v>
      </c>
      <c r="I17" s="281">
        <v>0</v>
      </c>
      <c r="J17" s="310"/>
      <c r="K17" s="311"/>
      <c r="L17" s="174"/>
      <c r="M17" s="174"/>
      <c r="N17" s="174"/>
      <c r="O17" s="174"/>
      <c r="P17" s="174"/>
    </row>
    <row r="18" spans="1:16" ht="29" x14ac:dyDescent="0.35">
      <c r="A18" s="276">
        <v>7654</v>
      </c>
      <c r="B18" s="277">
        <v>60884835</v>
      </c>
      <c r="C18" s="103" t="s">
        <v>142</v>
      </c>
      <c r="D18" s="286">
        <v>50</v>
      </c>
      <c r="E18" s="287">
        <v>0</v>
      </c>
      <c r="F18" s="287">
        <v>16.899999999999999</v>
      </c>
      <c r="G18" s="287">
        <v>1</v>
      </c>
      <c r="H18" s="287">
        <v>67.900000000000006</v>
      </c>
      <c r="I18" s="281">
        <v>0</v>
      </c>
      <c r="J18" s="310"/>
      <c r="K18" s="311"/>
      <c r="L18" s="174"/>
      <c r="M18" s="174"/>
      <c r="N18" s="174"/>
      <c r="O18" s="174"/>
      <c r="P18" s="174"/>
    </row>
    <row r="19" spans="1:16" x14ac:dyDescent="0.35">
      <c r="A19" s="278">
        <v>7655</v>
      </c>
      <c r="B19" s="279">
        <v>70980462</v>
      </c>
      <c r="C19" s="273" t="s">
        <v>143</v>
      </c>
      <c r="D19" s="286">
        <v>0</v>
      </c>
      <c r="E19" s="287">
        <v>24</v>
      </c>
      <c r="F19" s="293">
        <f>8.112-8.112</f>
        <v>0</v>
      </c>
      <c r="G19" s="287">
        <v>0</v>
      </c>
      <c r="H19" s="293">
        <f>32.112-8.112</f>
        <v>24</v>
      </c>
      <c r="I19" s="281">
        <v>0</v>
      </c>
      <c r="J19" s="310"/>
      <c r="K19" s="311"/>
      <c r="L19" s="174"/>
      <c r="M19" s="174"/>
      <c r="N19" s="174"/>
      <c r="O19" s="174"/>
      <c r="P19" s="174"/>
    </row>
    <row r="20" spans="1:16" x14ac:dyDescent="0.35">
      <c r="A20" s="276">
        <v>7662</v>
      </c>
      <c r="B20" s="277">
        <v>75017245</v>
      </c>
      <c r="C20" s="296" t="s">
        <v>144</v>
      </c>
      <c r="D20" s="286">
        <v>0</v>
      </c>
      <c r="E20" s="287">
        <v>12</v>
      </c>
      <c r="F20" s="287">
        <v>4.056</v>
      </c>
      <c r="G20" s="287">
        <v>0</v>
      </c>
      <c r="H20" s="287">
        <v>16.056000000000001</v>
      </c>
      <c r="I20" s="281">
        <v>0</v>
      </c>
      <c r="J20" s="310"/>
      <c r="K20" s="311"/>
      <c r="L20" s="174"/>
      <c r="M20" s="174"/>
      <c r="N20" s="174"/>
      <c r="O20" s="174"/>
      <c r="P20" s="174"/>
    </row>
    <row r="21" spans="1:16" ht="28" x14ac:dyDescent="0.35">
      <c r="A21" s="276">
        <v>7805</v>
      </c>
      <c r="B21" s="131">
        <v>62692755</v>
      </c>
      <c r="C21" s="295" t="s">
        <v>16</v>
      </c>
      <c r="D21" s="286">
        <v>75.599999999999994</v>
      </c>
      <c r="E21" s="287">
        <v>0</v>
      </c>
      <c r="F21" s="287">
        <v>25.553000000000001</v>
      </c>
      <c r="G21" s="287">
        <v>1.512</v>
      </c>
      <c r="H21" s="287">
        <v>102.66500000000001</v>
      </c>
      <c r="I21" s="282">
        <v>0.15909999999999999</v>
      </c>
      <c r="J21" s="310"/>
      <c r="K21" s="311"/>
      <c r="L21" s="174"/>
      <c r="M21" s="174"/>
      <c r="N21" s="174"/>
      <c r="O21" s="174"/>
      <c r="P21" s="174"/>
    </row>
    <row r="22" spans="1:16" x14ac:dyDescent="0.35">
      <c r="A22" s="276">
        <v>7843</v>
      </c>
      <c r="B22" s="277">
        <v>70883548</v>
      </c>
      <c r="C22" s="275" t="s">
        <v>147</v>
      </c>
      <c r="D22" s="286">
        <v>0</v>
      </c>
      <c r="E22" s="287">
        <v>9.6</v>
      </c>
      <c r="F22" s="293">
        <f>3.245-3.245</f>
        <v>0</v>
      </c>
      <c r="G22" s="287">
        <v>0</v>
      </c>
      <c r="H22" s="293">
        <f>12.845-3.245</f>
        <v>9.6000000000000014</v>
      </c>
      <c r="I22" s="281">
        <v>0</v>
      </c>
      <c r="J22" s="310"/>
      <c r="K22" s="311"/>
      <c r="L22" s="174"/>
      <c r="M22" s="174"/>
      <c r="N22" s="174"/>
      <c r="O22" s="174"/>
      <c r="P22" s="174"/>
    </row>
    <row r="23" spans="1:16" ht="29" x14ac:dyDescent="0.35">
      <c r="A23" s="278">
        <v>7850</v>
      </c>
      <c r="B23" s="279">
        <v>75018128</v>
      </c>
      <c r="C23" s="275" t="s">
        <v>140</v>
      </c>
      <c r="D23" s="286">
        <v>0</v>
      </c>
      <c r="E23" s="287">
        <v>57.6</v>
      </c>
      <c r="F23" s="287">
        <v>0</v>
      </c>
      <c r="G23" s="287">
        <v>0</v>
      </c>
      <c r="H23" s="287">
        <v>57.6</v>
      </c>
      <c r="I23" s="281">
        <v>0</v>
      </c>
      <c r="J23" s="310"/>
      <c r="K23" s="311"/>
      <c r="L23" s="174"/>
      <c r="M23" s="174"/>
      <c r="N23" s="174"/>
      <c r="O23" s="174"/>
      <c r="P23" s="174"/>
    </row>
    <row r="24" spans="1:16" x14ac:dyDescent="0.35">
      <c r="A24" s="88"/>
      <c r="B24" s="146"/>
      <c r="C24" s="166"/>
      <c r="D24" s="176"/>
      <c r="E24" s="179"/>
      <c r="F24" s="172"/>
      <c r="G24" s="172"/>
      <c r="H24" s="179"/>
      <c r="I24" s="188"/>
      <c r="J24" s="310"/>
      <c r="K24" s="311"/>
      <c r="L24" s="174"/>
    </row>
    <row r="25" spans="1:16" x14ac:dyDescent="0.35">
      <c r="A25" s="88"/>
      <c r="B25" s="146"/>
      <c r="C25" s="166"/>
      <c r="D25" s="289">
        <f>SUM(D4:D23)</f>
        <v>406.327</v>
      </c>
      <c r="E25" s="290">
        <f t="shared" ref="E25:I25" si="0">SUM(E4:E23)</f>
        <v>281.45</v>
      </c>
      <c r="F25" s="290">
        <f t="shared" si="0"/>
        <v>154.578</v>
      </c>
      <c r="G25" s="290">
        <f t="shared" si="0"/>
        <v>8.1259999999999994</v>
      </c>
      <c r="H25" s="290">
        <f t="shared" si="0"/>
        <v>850.48099999999999</v>
      </c>
      <c r="I25" s="283">
        <f t="shared" si="0"/>
        <v>0.42059999999999997</v>
      </c>
      <c r="J25" s="310"/>
      <c r="K25" s="311"/>
      <c r="L25" s="174"/>
    </row>
    <row r="26" spans="1:16" x14ac:dyDescent="0.35">
      <c r="I26" s="173"/>
    </row>
  </sheetData>
  <sortState xmlns:xlrd2="http://schemas.microsoft.com/office/spreadsheetml/2017/richdata2" ref="A4:I23">
    <sortCondition ref="A4:A23"/>
  </sortState>
  <customSheetViews>
    <customSheetView guid="{A687C76D-0A25-4B23-B774-83E5858950A5}">
      <pane xSplit="3" ySplit="3" topLeftCell="D4" activePane="bottomRight" state="frozen"/>
      <selection pane="bottomRight" activeCell="E18" sqref="E18"/>
      <pageMargins left="0.7" right="0.7" top="0.78740157499999996" bottom="0.26" header="0.3" footer="0.3"/>
      <pageSetup paperSize="9" orientation="landscape" horizontalDpi="0" verticalDpi="0" r:id="rId1"/>
    </customSheetView>
    <customSheetView guid="{C95316B6-A37E-4534-B810-A6A18951EFBB}" showPageBreaks="1">
      <pane xSplit="3" ySplit="3" topLeftCell="D4" activePane="bottomRight" state="frozen"/>
      <selection pane="bottomRight" activeCell="I9" sqref="I9"/>
      <pageMargins left="0.7" right="0.7" top="0.78740157499999996" bottom="0.26" header="0.3" footer="0.3"/>
      <pageSetup paperSize="9" orientation="landscape" horizontalDpi="0" verticalDpi="0" r:id="rId2"/>
    </customSheetView>
  </customSheetViews>
  <pageMargins left="0.7" right="0.7" top="0.78740157499999996" bottom="0.26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zoomScale="80" workbookViewId="0">
      <pane xSplit="3" ySplit="3" topLeftCell="D24" activePane="bottomRight" state="frozen"/>
      <selection pane="topRight" activeCell="D1" sqref="D1"/>
      <selection pane="bottomLeft" activeCell="A4" sqref="A4"/>
      <selection pane="bottomRight" activeCell="Z40" sqref="Z40"/>
    </sheetView>
  </sheetViews>
  <sheetFormatPr defaultRowHeight="14.5" x14ac:dyDescent="0.35"/>
  <cols>
    <col min="1" max="1" width="5.6328125" customWidth="1"/>
    <col min="2" max="2" width="13.36328125" customWidth="1"/>
    <col min="3" max="3" width="38.453125" customWidth="1"/>
    <col min="4" max="4" width="12.6328125" customWidth="1"/>
    <col min="5" max="5" width="11" bestFit="1" customWidth="1"/>
    <col min="6" max="6" width="11.6328125" customWidth="1"/>
    <col min="7" max="7" width="9.90625" bestFit="1" customWidth="1"/>
    <col min="8" max="8" width="12" bestFit="1" customWidth="1"/>
    <col min="10" max="10" width="3" customWidth="1"/>
    <col min="11" max="11" width="11.08984375" bestFit="1" customWidth="1"/>
    <col min="12" max="12" width="10.453125" bestFit="1" customWidth="1"/>
    <col min="13" max="13" width="11.08984375" bestFit="1" customWidth="1"/>
    <col min="14" max="14" width="10.08984375" bestFit="1" customWidth="1"/>
    <col min="15" max="15" width="15.90625" bestFit="1" customWidth="1"/>
    <col min="16" max="16" width="9.453125" bestFit="1" customWidth="1"/>
    <col min="17" max="17" width="3.08984375" customWidth="1"/>
    <col min="18" max="18" width="12.36328125" customWidth="1"/>
  </cols>
  <sheetData>
    <row r="1" spans="1:19" ht="15.5" x14ac:dyDescent="0.35">
      <c r="A1" s="9" t="s">
        <v>153</v>
      </c>
    </row>
    <row r="2" spans="1:19" ht="15.5" x14ac:dyDescent="0.35">
      <c r="A2" s="9"/>
      <c r="C2" s="9"/>
    </row>
    <row r="3" spans="1:19" ht="15" thickBot="1" x14ac:dyDescent="0.4">
      <c r="A3" s="10" t="s">
        <v>8</v>
      </c>
      <c r="D3" t="s">
        <v>127</v>
      </c>
      <c r="K3" t="s">
        <v>128</v>
      </c>
      <c r="R3" s="71" t="s">
        <v>13</v>
      </c>
    </row>
    <row r="4" spans="1:19" ht="26.5" thickBot="1" x14ac:dyDescent="0.4">
      <c r="A4" s="1" t="s">
        <v>0</v>
      </c>
      <c r="B4" s="2" t="s">
        <v>9</v>
      </c>
      <c r="C4" s="3" t="s">
        <v>1</v>
      </c>
      <c r="D4" s="11" t="s">
        <v>2</v>
      </c>
      <c r="E4" s="12" t="s">
        <v>3</v>
      </c>
      <c r="F4" s="12" t="s">
        <v>4</v>
      </c>
      <c r="G4" s="13" t="s">
        <v>5</v>
      </c>
      <c r="H4" s="14" t="s">
        <v>6</v>
      </c>
      <c r="I4" s="15" t="s">
        <v>7</v>
      </c>
      <c r="K4" s="4" t="s">
        <v>2</v>
      </c>
      <c r="L4" s="5" t="s">
        <v>3</v>
      </c>
      <c r="M4" s="5" t="s">
        <v>4</v>
      </c>
      <c r="N4" s="6" t="s">
        <v>5</v>
      </c>
      <c r="O4" s="7" t="s">
        <v>6</v>
      </c>
      <c r="P4" s="8" t="s">
        <v>7</v>
      </c>
      <c r="R4" s="7" t="s">
        <v>6</v>
      </c>
    </row>
    <row r="5" spans="1:19" s="123" customFormat="1" ht="25" x14ac:dyDescent="0.35">
      <c r="A5" s="134">
        <v>7062</v>
      </c>
      <c r="B5" s="135">
        <v>62695177</v>
      </c>
      <c r="C5" s="121" t="s">
        <v>18</v>
      </c>
      <c r="D5" s="236">
        <v>18.015999999999998</v>
      </c>
      <c r="E5" s="236"/>
      <c r="F5" s="236">
        <v>6.0890000000000004</v>
      </c>
      <c r="G5" s="237">
        <v>0.36</v>
      </c>
      <c r="H5" s="238">
        <v>24.465</v>
      </c>
      <c r="I5" s="16">
        <v>4.6699999999999998E-2</v>
      </c>
      <c r="J5" s="124"/>
      <c r="K5" s="241">
        <v>26.861999999999998</v>
      </c>
      <c r="L5" s="242">
        <v>0</v>
      </c>
      <c r="M5" s="242">
        <v>9.0790000000000006</v>
      </c>
      <c r="N5" s="242">
        <v>0.53700000000000003</v>
      </c>
      <c r="O5" s="243">
        <v>36.478000000000002</v>
      </c>
      <c r="P5" s="144">
        <v>6.8199999999999997E-2</v>
      </c>
      <c r="Q5" s="124"/>
      <c r="R5" s="254">
        <f t="shared" ref="R5:R42" si="0">H5+O5</f>
        <v>60.942999999999998</v>
      </c>
      <c r="S5" s="225"/>
    </row>
    <row r="6" spans="1:19" s="123" customFormat="1" ht="43.5" x14ac:dyDescent="0.35">
      <c r="A6" s="134">
        <v>7074</v>
      </c>
      <c r="B6" s="135">
        <v>62695398</v>
      </c>
      <c r="C6" s="122" t="s">
        <v>75</v>
      </c>
      <c r="D6" s="72"/>
      <c r="E6" s="73"/>
      <c r="F6" s="73"/>
      <c r="G6" s="74"/>
      <c r="H6" s="127"/>
      <c r="I6" s="16"/>
      <c r="J6" s="124"/>
      <c r="K6" s="244">
        <v>0</v>
      </c>
      <c r="L6" s="245">
        <v>68</v>
      </c>
      <c r="M6" s="245">
        <v>22.984000000000002</v>
      </c>
      <c r="N6" s="245">
        <v>0</v>
      </c>
      <c r="O6" s="246">
        <v>90.983999999999995</v>
      </c>
      <c r="P6" s="309">
        <v>0</v>
      </c>
      <c r="Q6" s="124"/>
      <c r="R6" s="254">
        <f t="shared" si="0"/>
        <v>90.983999999999995</v>
      </c>
    </row>
    <row r="7" spans="1:19" s="123" customFormat="1" ht="43.5" x14ac:dyDescent="0.35">
      <c r="A7" s="134">
        <v>7047</v>
      </c>
      <c r="B7" s="135">
        <v>75008319</v>
      </c>
      <c r="C7" s="122" t="s">
        <v>76</v>
      </c>
      <c r="D7" s="72"/>
      <c r="E7" s="73"/>
      <c r="F7" s="73"/>
      <c r="G7" s="74"/>
      <c r="H7" s="127"/>
      <c r="I7" s="16"/>
      <c r="J7" s="124"/>
      <c r="K7" s="244">
        <v>0</v>
      </c>
      <c r="L7" s="245">
        <v>30</v>
      </c>
      <c r="M7" s="245">
        <v>0</v>
      </c>
      <c r="N7" s="245">
        <v>0</v>
      </c>
      <c r="O7" s="246">
        <v>30</v>
      </c>
      <c r="P7" s="309">
        <v>0</v>
      </c>
      <c r="Q7" s="124"/>
      <c r="R7" s="254">
        <f t="shared" si="0"/>
        <v>30</v>
      </c>
    </row>
    <row r="8" spans="1:19" s="123" customFormat="1" ht="29" x14ac:dyDescent="0.35">
      <c r="A8" s="134">
        <v>7075</v>
      </c>
      <c r="B8" s="135">
        <v>70996067</v>
      </c>
      <c r="C8" s="122" t="s">
        <v>77</v>
      </c>
      <c r="D8" s="72"/>
      <c r="E8" s="73"/>
      <c r="F8" s="73"/>
      <c r="G8" s="74"/>
      <c r="H8" s="127"/>
      <c r="I8" s="16"/>
      <c r="J8" s="124"/>
      <c r="K8" s="244">
        <v>0</v>
      </c>
      <c r="L8" s="245">
        <v>0</v>
      </c>
      <c r="M8" s="245">
        <v>0</v>
      </c>
      <c r="N8" s="245">
        <v>0</v>
      </c>
      <c r="O8" s="246">
        <v>0</v>
      </c>
      <c r="P8" s="309">
        <v>0</v>
      </c>
      <c r="Q8" s="124"/>
      <c r="R8" s="254">
        <f t="shared" si="0"/>
        <v>0</v>
      </c>
    </row>
    <row r="9" spans="1:19" s="123" customFormat="1" ht="43.5" x14ac:dyDescent="0.35">
      <c r="A9" s="134">
        <v>7050</v>
      </c>
      <c r="B9" s="135">
        <v>71004475</v>
      </c>
      <c r="C9" s="122" t="s">
        <v>78</v>
      </c>
      <c r="D9" s="72"/>
      <c r="E9" s="73"/>
      <c r="F9" s="73"/>
      <c r="G9" s="74"/>
      <c r="H9" s="127"/>
      <c r="I9" s="16"/>
      <c r="J9" s="124"/>
      <c r="K9" s="244">
        <v>0</v>
      </c>
      <c r="L9" s="245">
        <v>12</v>
      </c>
      <c r="M9" s="245">
        <v>0</v>
      </c>
      <c r="N9" s="245">
        <v>0</v>
      </c>
      <c r="O9" s="246">
        <v>12</v>
      </c>
      <c r="P9" s="309">
        <v>0</v>
      </c>
      <c r="Q9" s="124"/>
      <c r="R9" s="254">
        <f t="shared" si="0"/>
        <v>12</v>
      </c>
    </row>
    <row r="10" spans="1:19" s="123" customFormat="1" ht="43.5" x14ac:dyDescent="0.35">
      <c r="A10" s="134">
        <v>7052</v>
      </c>
      <c r="B10" s="135">
        <v>75019001</v>
      </c>
      <c r="C10" s="301" t="s">
        <v>79</v>
      </c>
      <c r="D10" s="72"/>
      <c r="E10" s="73"/>
      <c r="F10" s="73"/>
      <c r="G10" s="74"/>
      <c r="H10" s="127"/>
      <c r="I10" s="16"/>
      <c r="J10" s="124"/>
      <c r="K10" s="302">
        <f>0+10</f>
        <v>10</v>
      </c>
      <c r="L10" s="288">
        <f>10-10</f>
        <v>0</v>
      </c>
      <c r="M10" s="288">
        <f>0+3.38</f>
        <v>3.38</v>
      </c>
      <c r="N10" s="288">
        <f>0+0.2</f>
        <v>0.2</v>
      </c>
      <c r="O10" s="246">
        <v>13.58</v>
      </c>
      <c r="P10" s="309">
        <v>0</v>
      </c>
      <c r="Q10" s="124"/>
      <c r="R10" s="254">
        <f t="shared" si="0"/>
        <v>13.58</v>
      </c>
    </row>
    <row r="11" spans="1:19" s="123" customFormat="1" ht="25" x14ac:dyDescent="0.35">
      <c r="A11" s="134">
        <v>7085</v>
      </c>
      <c r="B11" s="135">
        <v>62690965</v>
      </c>
      <c r="C11" s="299" t="s">
        <v>24</v>
      </c>
      <c r="D11" s="236">
        <v>0</v>
      </c>
      <c r="E11" s="271">
        <f>49-14</f>
        <v>35</v>
      </c>
      <c r="F11" s="271">
        <f>16.562-4.732</f>
        <v>11.830000000000002</v>
      </c>
      <c r="G11" s="237">
        <v>0</v>
      </c>
      <c r="H11" s="238">
        <v>46.83</v>
      </c>
      <c r="I11" s="16">
        <v>0</v>
      </c>
      <c r="J11" s="124"/>
      <c r="K11" s="247">
        <v>0</v>
      </c>
      <c r="L11" s="288">
        <f>110.25-27.3</f>
        <v>82.95</v>
      </c>
      <c r="M11" s="288">
        <f>37.265-9.228</f>
        <v>28.036999999999999</v>
      </c>
      <c r="N11" s="248">
        <v>0</v>
      </c>
      <c r="O11" s="249">
        <v>110.98699999999999</v>
      </c>
      <c r="P11" s="125">
        <v>0</v>
      </c>
      <c r="Q11" s="124"/>
      <c r="R11" s="254">
        <f t="shared" si="0"/>
        <v>157.81700000000001</v>
      </c>
    </row>
    <row r="12" spans="1:19" s="123" customFormat="1" ht="43.5" x14ac:dyDescent="0.35">
      <c r="A12" s="134">
        <v>7096</v>
      </c>
      <c r="B12" s="135">
        <v>70998124</v>
      </c>
      <c r="C12" s="300" t="s">
        <v>109</v>
      </c>
      <c r="D12" s="239"/>
      <c r="E12" s="236"/>
      <c r="F12" s="236"/>
      <c r="G12" s="237"/>
      <c r="H12" s="238"/>
      <c r="I12" s="16"/>
      <c r="J12" s="124"/>
      <c r="K12" s="247">
        <v>79.2</v>
      </c>
      <c r="L12" s="248">
        <v>0</v>
      </c>
      <c r="M12" s="248">
        <v>26.77</v>
      </c>
      <c r="N12" s="248">
        <v>1.5840000000000001</v>
      </c>
      <c r="O12" s="249">
        <v>107.554</v>
      </c>
      <c r="P12" s="306">
        <f>1.1667-1</f>
        <v>0.16670000000000007</v>
      </c>
      <c r="Q12" s="124"/>
      <c r="R12" s="254">
        <f t="shared" si="0"/>
        <v>107.554</v>
      </c>
    </row>
    <row r="13" spans="1:19" s="123" customFormat="1" ht="25" x14ac:dyDescent="0.35">
      <c r="A13" s="134">
        <v>7201</v>
      </c>
      <c r="B13" s="135">
        <v>70971137</v>
      </c>
      <c r="C13" s="299" t="s">
        <v>19</v>
      </c>
      <c r="D13" s="239"/>
      <c r="E13" s="236"/>
      <c r="F13" s="236"/>
      <c r="G13" s="237"/>
      <c r="H13" s="238"/>
      <c r="I13" s="16"/>
      <c r="J13" s="124"/>
      <c r="K13" s="247">
        <v>0</v>
      </c>
      <c r="L13" s="288">
        <f>33.6-2.8</f>
        <v>30.8</v>
      </c>
      <c r="M13" s="248">
        <v>0</v>
      </c>
      <c r="N13" s="248">
        <v>0</v>
      </c>
      <c r="O13" s="249">
        <v>30.8</v>
      </c>
      <c r="P13" s="125">
        <v>0</v>
      </c>
      <c r="Q13" s="124"/>
      <c r="R13" s="254">
        <f t="shared" si="0"/>
        <v>30.8</v>
      </c>
    </row>
    <row r="14" spans="1:19" s="123" customFormat="1" ht="25" x14ac:dyDescent="0.35">
      <c r="A14" s="134">
        <v>7248</v>
      </c>
      <c r="B14" s="135">
        <v>70886822</v>
      </c>
      <c r="C14" s="299" t="s">
        <v>21</v>
      </c>
      <c r="D14" s="239">
        <v>57.6</v>
      </c>
      <c r="E14" s="236"/>
      <c r="F14" s="236">
        <v>19.469000000000001</v>
      </c>
      <c r="G14" s="237">
        <v>1.1519999999999999</v>
      </c>
      <c r="H14" s="238">
        <v>78.221000000000004</v>
      </c>
      <c r="I14" s="16">
        <v>0.1212</v>
      </c>
      <c r="J14" s="124"/>
      <c r="K14" s="247">
        <v>92.16</v>
      </c>
      <c r="L14" s="288">
        <f>209+28</f>
        <v>237</v>
      </c>
      <c r="M14" s="288">
        <f>101.792-4.394</f>
        <v>97.397999999999996</v>
      </c>
      <c r="N14" s="202">
        <v>1.843</v>
      </c>
      <c r="O14" s="249">
        <v>428.40100000000001</v>
      </c>
      <c r="P14" s="125">
        <v>0.18179999999999999</v>
      </c>
      <c r="Q14" s="124"/>
      <c r="R14" s="254">
        <f t="shared" si="0"/>
        <v>506.62200000000001</v>
      </c>
    </row>
    <row r="15" spans="1:19" s="123" customFormat="1" ht="29" x14ac:dyDescent="0.35">
      <c r="A15" s="134">
        <v>7254</v>
      </c>
      <c r="B15" s="135">
        <v>70982635</v>
      </c>
      <c r="C15" s="119" t="s">
        <v>110</v>
      </c>
      <c r="D15" s="239"/>
      <c r="E15" s="236"/>
      <c r="F15" s="236"/>
      <c r="G15" s="237"/>
      <c r="H15" s="238"/>
      <c r="I15" s="16"/>
      <c r="J15" s="124"/>
      <c r="K15" s="247">
        <v>176.04</v>
      </c>
      <c r="L15" s="248">
        <v>0</v>
      </c>
      <c r="M15" s="248">
        <v>59.502000000000002</v>
      </c>
      <c r="N15" s="248">
        <v>3.5209999999999999</v>
      </c>
      <c r="O15" s="249">
        <v>239.06299999999999</v>
      </c>
      <c r="P15" s="125">
        <v>0.3705</v>
      </c>
      <c r="Q15" s="124"/>
      <c r="R15" s="254">
        <f t="shared" si="0"/>
        <v>239.06299999999999</v>
      </c>
    </row>
    <row r="16" spans="1:19" s="123" customFormat="1" ht="29" x14ac:dyDescent="0.35">
      <c r="A16" s="134">
        <v>7253</v>
      </c>
      <c r="B16" s="135">
        <v>70879150</v>
      </c>
      <c r="C16" s="119" t="s">
        <v>111</v>
      </c>
      <c r="D16" s="239"/>
      <c r="E16" s="236"/>
      <c r="F16" s="236"/>
      <c r="G16" s="237"/>
      <c r="H16" s="238"/>
      <c r="I16" s="16"/>
      <c r="J16" s="124"/>
      <c r="K16" s="247">
        <v>72.5</v>
      </c>
      <c r="L16" s="248">
        <v>0</v>
      </c>
      <c r="M16" s="248">
        <v>24.504999999999999</v>
      </c>
      <c r="N16" s="248">
        <v>1.45</v>
      </c>
      <c r="O16" s="249">
        <v>98.454999999999998</v>
      </c>
      <c r="P16" s="125">
        <v>0.17430000000000001</v>
      </c>
      <c r="Q16" s="124"/>
      <c r="R16" s="254">
        <f t="shared" si="0"/>
        <v>98.454999999999998</v>
      </c>
    </row>
    <row r="17" spans="1:18" s="123" customFormat="1" ht="29" x14ac:dyDescent="0.35">
      <c r="A17" s="134">
        <v>7255</v>
      </c>
      <c r="B17" s="135">
        <v>71001379</v>
      </c>
      <c r="C17" s="300" t="s">
        <v>112</v>
      </c>
      <c r="D17" s="239"/>
      <c r="E17" s="236"/>
      <c r="F17" s="236"/>
      <c r="G17" s="237"/>
      <c r="H17" s="238"/>
      <c r="I17" s="16"/>
      <c r="J17" s="124"/>
      <c r="K17" s="302">
        <f>5.41-2.304</f>
        <v>3.1060000000000003</v>
      </c>
      <c r="L17" s="248">
        <v>0</v>
      </c>
      <c r="M17" s="288">
        <f>1.829-0.779</f>
        <v>1.0499999999999998</v>
      </c>
      <c r="N17" s="288">
        <f>0.108-0.046</f>
        <v>6.2E-2</v>
      </c>
      <c r="O17" s="249">
        <v>4.218</v>
      </c>
      <c r="P17" s="306">
        <f>0.0107-0.0054</f>
        <v>5.2999999999999992E-3</v>
      </c>
      <c r="Q17" s="124"/>
      <c r="R17" s="288">
        <f>H17+O17</f>
        <v>4.218</v>
      </c>
    </row>
    <row r="18" spans="1:18" s="123" customFormat="1" x14ac:dyDescent="0.35">
      <c r="A18" s="134">
        <v>7272</v>
      </c>
      <c r="B18" s="135">
        <v>49305620</v>
      </c>
      <c r="C18" s="121" t="s">
        <v>26</v>
      </c>
      <c r="D18" s="239">
        <v>0</v>
      </c>
      <c r="E18" s="236">
        <v>9.9</v>
      </c>
      <c r="F18" s="236">
        <v>0</v>
      </c>
      <c r="G18" s="237">
        <v>0</v>
      </c>
      <c r="H18" s="238">
        <v>9.9</v>
      </c>
      <c r="I18" s="16">
        <v>0</v>
      </c>
      <c r="J18" s="124"/>
      <c r="K18" s="247">
        <v>0</v>
      </c>
      <c r="L18" s="248">
        <v>16.2</v>
      </c>
      <c r="M18" s="248">
        <v>0</v>
      </c>
      <c r="N18" s="248">
        <v>0</v>
      </c>
      <c r="O18" s="249">
        <v>16.2</v>
      </c>
      <c r="P18" s="125">
        <v>0</v>
      </c>
      <c r="Q18" s="124"/>
      <c r="R18" s="254">
        <f t="shared" si="0"/>
        <v>26.1</v>
      </c>
    </row>
    <row r="19" spans="1:18" s="123" customFormat="1" ht="29" x14ac:dyDescent="0.35">
      <c r="A19" s="134">
        <v>7404</v>
      </c>
      <c r="B19" s="135">
        <v>48623008</v>
      </c>
      <c r="C19" s="300" t="s">
        <v>113</v>
      </c>
      <c r="D19" s="239"/>
      <c r="E19" s="236"/>
      <c r="F19" s="236"/>
      <c r="G19" s="237"/>
      <c r="H19" s="238"/>
      <c r="I19" s="16"/>
      <c r="J19" s="124"/>
      <c r="K19" s="302">
        <f>31.5-0.328</f>
        <v>31.172000000000001</v>
      </c>
      <c r="L19" s="248">
        <v>0</v>
      </c>
      <c r="M19" s="288">
        <f>10.647-0.112</f>
        <v>10.535</v>
      </c>
      <c r="N19" s="288">
        <f>0.63-0.007</f>
        <v>0.623</v>
      </c>
      <c r="O19" s="249">
        <v>42.33</v>
      </c>
      <c r="P19" s="125">
        <v>6.6299999999999998E-2</v>
      </c>
      <c r="Q19" s="124"/>
      <c r="R19" s="254">
        <f t="shared" si="0"/>
        <v>42.33</v>
      </c>
    </row>
    <row r="20" spans="1:18" s="123" customFormat="1" ht="25" x14ac:dyDescent="0.35">
      <c r="A20" s="136">
        <v>7426</v>
      </c>
      <c r="B20" s="137">
        <v>70932085</v>
      </c>
      <c r="C20" s="121" t="s">
        <v>20</v>
      </c>
      <c r="D20" s="271">
        <f>16.83-16.83</f>
        <v>0</v>
      </c>
      <c r="E20" s="236"/>
      <c r="F20" s="271">
        <f>5.689-5.689</f>
        <v>0</v>
      </c>
      <c r="G20" s="271">
        <f>0.337-0.337</f>
        <v>0</v>
      </c>
      <c r="H20" s="238">
        <v>0</v>
      </c>
      <c r="I20" s="271">
        <f>0.0455-0.0455</f>
        <v>0</v>
      </c>
      <c r="J20" s="124"/>
      <c r="K20" s="197">
        <v>105.16500000000001</v>
      </c>
      <c r="L20" s="35">
        <v>0</v>
      </c>
      <c r="M20" s="35">
        <v>35.545999999999999</v>
      </c>
      <c r="N20" s="35">
        <v>2.1030000000000002</v>
      </c>
      <c r="O20" s="227">
        <v>142.81399999999999</v>
      </c>
      <c r="P20" s="126">
        <v>0.2273</v>
      </c>
      <c r="Q20" s="124"/>
      <c r="R20" s="18">
        <f t="shared" si="0"/>
        <v>142.81399999999999</v>
      </c>
    </row>
    <row r="21" spans="1:18" s="123" customFormat="1" ht="43.5" x14ac:dyDescent="0.35">
      <c r="A21" s="136">
        <v>7424</v>
      </c>
      <c r="B21" s="137">
        <v>70926662</v>
      </c>
      <c r="C21" s="300" t="s">
        <v>114</v>
      </c>
      <c r="D21" s="239"/>
      <c r="E21" s="236"/>
      <c r="F21" s="236"/>
      <c r="G21" s="237"/>
      <c r="H21" s="238"/>
      <c r="I21" s="16"/>
      <c r="J21" s="124"/>
      <c r="K21" s="197">
        <v>0</v>
      </c>
      <c r="L21" s="288">
        <f>24-4.5</f>
        <v>19.5</v>
      </c>
      <c r="M21" s="35">
        <v>0</v>
      </c>
      <c r="N21" s="35">
        <v>0</v>
      </c>
      <c r="O21" s="227">
        <v>19.5</v>
      </c>
      <c r="P21" s="126">
        <v>0</v>
      </c>
      <c r="Q21" s="124"/>
      <c r="R21" s="18">
        <f t="shared" si="0"/>
        <v>19.5</v>
      </c>
    </row>
    <row r="22" spans="1:18" s="123" customFormat="1" ht="25" x14ac:dyDescent="0.35">
      <c r="A22" s="138">
        <v>7467</v>
      </c>
      <c r="B22" s="139">
        <v>857611</v>
      </c>
      <c r="C22" s="121" t="s">
        <v>23</v>
      </c>
      <c r="D22" s="239">
        <v>0</v>
      </c>
      <c r="E22" s="271">
        <f>55.8-12.8</f>
        <v>43</v>
      </c>
      <c r="F22" s="236">
        <v>0</v>
      </c>
      <c r="G22" s="237">
        <v>0</v>
      </c>
      <c r="H22" s="238">
        <v>43</v>
      </c>
      <c r="I22" s="16">
        <v>0</v>
      </c>
      <c r="J22" s="124"/>
      <c r="K22" s="197">
        <v>0</v>
      </c>
      <c r="L22" s="35">
        <v>54.674999999999997</v>
      </c>
      <c r="M22" s="35">
        <v>0</v>
      </c>
      <c r="N22" s="35">
        <v>0</v>
      </c>
      <c r="O22" s="227">
        <v>54.674999999999997</v>
      </c>
      <c r="P22" s="126">
        <v>0</v>
      </c>
      <c r="Q22" s="124"/>
      <c r="R22" s="18">
        <f t="shared" si="0"/>
        <v>97.674999999999997</v>
      </c>
    </row>
    <row r="23" spans="1:18" s="123" customFormat="1" ht="43.5" x14ac:dyDescent="0.35">
      <c r="A23" s="136">
        <v>7443</v>
      </c>
      <c r="B23" s="139">
        <v>75016273</v>
      </c>
      <c r="C23" s="300" t="s">
        <v>116</v>
      </c>
      <c r="D23" s="239"/>
      <c r="E23" s="236"/>
      <c r="F23" s="236"/>
      <c r="G23" s="237"/>
      <c r="H23" s="238"/>
      <c r="I23" s="16"/>
      <c r="J23" s="124"/>
      <c r="K23" s="302">
        <f>107.58-10.281</f>
        <v>97.298999999999992</v>
      </c>
      <c r="L23" s="35">
        <v>0</v>
      </c>
      <c r="M23" s="288">
        <f>36.362-3.475</f>
        <v>32.887</v>
      </c>
      <c r="N23" s="288">
        <f>2.152-0.206</f>
        <v>1.9460000000000002</v>
      </c>
      <c r="O23" s="227">
        <v>132.13200000000001</v>
      </c>
      <c r="P23" s="306">
        <f>0.2443-0.0234</f>
        <v>0.22089999999999999</v>
      </c>
      <c r="Q23" s="124"/>
      <c r="R23" s="18">
        <f t="shared" si="0"/>
        <v>132.13200000000001</v>
      </c>
    </row>
    <row r="24" spans="1:18" s="123" customFormat="1" ht="29" x14ac:dyDescent="0.35">
      <c r="A24" s="138">
        <v>7454</v>
      </c>
      <c r="B24" s="140">
        <v>70995397</v>
      </c>
      <c r="C24" s="119" t="s">
        <v>117</v>
      </c>
      <c r="D24" s="239"/>
      <c r="E24" s="236"/>
      <c r="F24" s="236"/>
      <c r="G24" s="237"/>
      <c r="H24" s="238"/>
      <c r="I24" s="16"/>
      <c r="J24" s="124"/>
      <c r="K24" s="197">
        <v>71.465999999999994</v>
      </c>
      <c r="L24" s="35">
        <v>0</v>
      </c>
      <c r="M24" s="35">
        <v>24.155000000000001</v>
      </c>
      <c r="N24" s="250">
        <v>1.43</v>
      </c>
      <c r="O24" s="227">
        <v>97.051000000000002</v>
      </c>
      <c r="P24" s="126">
        <v>0.1799</v>
      </c>
      <c r="Q24" s="124"/>
      <c r="R24" s="18">
        <f t="shared" si="0"/>
        <v>97.051000000000002</v>
      </c>
    </row>
    <row r="25" spans="1:18" s="123" customFormat="1" x14ac:dyDescent="0.35">
      <c r="A25" s="136">
        <v>7463</v>
      </c>
      <c r="B25" s="139">
        <v>70996393</v>
      </c>
      <c r="C25" s="300" t="s">
        <v>115</v>
      </c>
      <c r="D25" s="239"/>
      <c r="E25" s="236"/>
      <c r="F25" s="236"/>
      <c r="G25" s="237"/>
      <c r="H25" s="238"/>
      <c r="I25" s="16"/>
      <c r="J25" s="124"/>
      <c r="K25" s="197">
        <v>0</v>
      </c>
      <c r="L25" s="288">
        <f>3.4-1</f>
        <v>2.4</v>
      </c>
      <c r="M25" s="35">
        <v>0</v>
      </c>
      <c r="N25" s="250">
        <v>0</v>
      </c>
      <c r="O25" s="227">
        <v>2.4</v>
      </c>
      <c r="P25" s="126">
        <v>0</v>
      </c>
      <c r="Q25" s="124"/>
      <c r="R25" s="18">
        <f t="shared" si="0"/>
        <v>2.4</v>
      </c>
    </row>
    <row r="26" spans="1:18" s="123" customFormat="1" x14ac:dyDescent="0.35">
      <c r="A26" s="136">
        <v>7459</v>
      </c>
      <c r="B26" s="139">
        <v>70996431</v>
      </c>
      <c r="C26" s="119" t="s">
        <v>104</v>
      </c>
      <c r="D26" s="239"/>
      <c r="E26" s="236">
        <v>4</v>
      </c>
      <c r="F26" s="236"/>
      <c r="G26" s="237"/>
      <c r="H26" s="238">
        <v>4</v>
      </c>
      <c r="I26" s="16"/>
      <c r="J26" s="124"/>
      <c r="K26" s="197">
        <v>0</v>
      </c>
      <c r="L26" s="35">
        <v>2.75</v>
      </c>
      <c r="M26" s="35">
        <v>0</v>
      </c>
      <c r="N26" s="250">
        <v>0</v>
      </c>
      <c r="O26" s="227">
        <v>2.75</v>
      </c>
      <c r="P26" s="126">
        <v>0</v>
      </c>
      <c r="Q26" s="124"/>
      <c r="R26" s="18">
        <f t="shared" si="0"/>
        <v>6.75</v>
      </c>
    </row>
    <row r="27" spans="1:18" s="123" customFormat="1" ht="25" x14ac:dyDescent="0.35">
      <c r="A27" s="136">
        <v>7500</v>
      </c>
      <c r="B27" s="137">
        <v>857688</v>
      </c>
      <c r="C27" s="299" t="s">
        <v>25</v>
      </c>
      <c r="D27" s="239">
        <v>0</v>
      </c>
      <c r="E27" s="236">
        <v>20.8</v>
      </c>
      <c r="F27" s="236">
        <v>0</v>
      </c>
      <c r="G27" s="237">
        <v>0</v>
      </c>
      <c r="H27" s="238">
        <v>20.8</v>
      </c>
      <c r="I27" s="16">
        <v>0</v>
      </c>
      <c r="J27" s="124"/>
      <c r="K27" s="197">
        <v>185.57499999999999</v>
      </c>
      <c r="L27" s="288">
        <f>94-36</f>
        <v>58</v>
      </c>
      <c r="M27" s="35">
        <v>74.352000000000004</v>
      </c>
      <c r="N27" s="250">
        <v>3.7120000000000002</v>
      </c>
      <c r="O27" s="227">
        <v>321.63900000000001</v>
      </c>
      <c r="P27" s="126">
        <v>0.34089999999999998</v>
      </c>
      <c r="Q27" s="124"/>
      <c r="R27" s="18">
        <f t="shared" si="0"/>
        <v>342.43900000000002</v>
      </c>
    </row>
    <row r="28" spans="1:18" s="123" customFormat="1" ht="29" x14ac:dyDescent="0.35">
      <c r="A28" s="136">
        <v>7498</v>
      </c>
      <c r="B28" s="137">
        <v>71010076</v>
      </c>
      <c r="C28" s="119" t="s">
        <v>118</v>
      </c>
      <c r="D28" s="239"/>
      <c r="E28" s="236"/>
      <c r="F28" s="236"/>
      <c r="G28" s="237"/>
      <c r="H28" s="238"/>
      <c r="I28" s="16"/>
      <c r="J28" s="124"/>
      <c r="K28" s="197">
        <v>8.24</v>
      </c>
      <c r="L28" s="35">
        <v>0</v>
      </c>
      <c r="M28" s="35">
        <v>2.7850000000000001</v>
      </c>
      <c r="N28" s="250">
        <v>0.16500000000000001</v>
      </c>
      <c r="O28" s="227">
        <v>11.19</v>
      </c>
      <c r="P28" s="126">
        <v>2.1499999999999998E-2</v>
      </c>
      <c r="Q28" s="124"/>
      <c r="R28" s="18">
        <f t="shared" si="0"/>
        <v>11.19</v>
      </c>
    </row>
    <row r="29" spans="1:18" s="123" customFormat="1" ht="37.5" x14ac:dyDescent="0.35">
      <c r="A29" s="136">
        <v>7617</v>
      </c>
      <c r="B29" s="137">
        <v>75018616</v>
      </c>
      <c r="C29" s="299" t="s">
        <v>17</v>
      </c>
      <c r="D29" s="239"/>
      <c r="E29" s="236"/>
      <c r="F29" s="236"/>
      <c r="G29" s="237"/>
      <c r="H29" s="238"/>
      <c r="I29" s="16"/>
      <c r="J29" s="124"/>
      <c r="K29" s="302">
        <f>25-3.286</f>
        <v>21.713999999999999</v>
      </c>
      <c r="L29" s="288">
        <f>22.5-4.5</f>
        <v>18</v>
      </c>
      <c r="M29" s="288">
        <f>8.45-1.11</f>
        <v>7.339999999999999</v>
      </c>
      <c r="N29" s="288">
        <f>0.5-0.066</f>
        <v>0.434</v>
      </c>
      <c r="O29" s="227">
        <v>47.488</v>
      </c>
      <c r="P29" s="126">
        <v>5.6800000000000003E-2</v>
      </c>
      <c r="Q29" s="124"/>
      <c r="R29" s="18">
        <f t="shared" si="0"/>
        <v>47.488</v>
      </c>
    </row>
    <row r="30" spans="1:18" s="123" customFormat="1" ht="29" x14ac:dyDescent="0.35">
      <c r="A30" s="136">
        <v>7620</v>
      </c>
      <c r="B30" s="141">
        <v>75015013</v>
      </c>
      <c r="C30" s="300" t="s">
        <v>119</v>
      </c>
      <c r="D30" s="239"/>
      <c r="E30" s="236"/>
      <c r="F30" s="236"/>
      <c r="G30" s="237"/>
      <c r="H30" s="238"/>
      <c r="I30" s="16"/>
      <c r="J30" s="124"/>
      <c r="K30" s="302">
        <f>20.802-2.185</f>
        <v>18.617000000000001</v>
      </c>
      <c r="L30" s="288">
        <f>26.4-8.8</f>
        <v>17.599999999999998</v>
      </c>
      <c r="M30" s="288">
        <f>7.031-0.738</f>
        <v>6.2929999999999993</v>
      </c>
      <c r="N30" s="288">
        <f>0.416-0.044</f>
        <v>0.372</v>
      </c>
      <c r="O30" s="227">
        <v>42.881999999999998</v>
      </c>
      <c r="P30" s="126">
        <v>4.5400000000000003E-2</v>
      </c>
      <c r="Q30" s="124"/>
      <c r="R30" s="18">
        <f t="shared" si="0"/>
        <v>42.881999999999998</v>
      </c>
    </row>
    <row r="31" spans="1:18" s="123" customFormat="1" ht="25" x14ac:dyDescent="0.35">
      <c r="A31" s="136">
        <v>7627</v>
      </c>
      <c r="B31" s="137">
        <v>70157332</v>
      </c>
      <c r="C31" s="121" t="s">
        <v>22</v>
      </c>
      <c r="D31" s="239">
        <v>250</v>
      </c>
      <c r="E31" s="236"/>
      <c r="F31" s="236">
        <v>84.5</v>
      </c>
      <c r="G31" s="237">
        <v>5</v>
      </c>
      <c r="H31" s="238">
        <v>339.5</v>
      </c>
      <c r="I31" s="16">
        <v>0.54669999999999996</v>
      </c>
      <c r="J31" s="124"/>
      <c r="K31" s="303">
        <f>180+190</f>
        <v>370</v>
      </c>
      <c r="L31" s="250">
        <v>0</v>
      </c>
      <c r="M31" s="250">
        <f>60.84+64.22</f>
        <v>125.06</v>
      </c>
      <c r="N31" s="250">
        <f>3.6+3.8</f>
        <v>7.4</v>
      </c>
      <c r="O31" s="304">
        <f>244.44+258.02</f>
        <v>502.46</v>
      </c>
      <c r="P31" s="305">
        <f>0.38+0.41</f>
        <v>0.79</v>
      </c>
      <c r="Q31" s="124"/>
      <c r="R31" s="18">
        <f t="shared" si="0"/>
        <v>841.96</v>
      </c>
    </row>
    <row r="32" spans="1:18" s="123" customFormat="1" ht="29" x14ac:dyDescent="0.35">
      <c r="A32" s="136">
        <v>7625</v>
      </c>
      <c r="B32" s="137">
        <v>70188874</v>
      </c>
      <c r="C32" s="119" t="s">
        <v>120</v>
      </c>
      <c r="D32" s="239"/>
      <c r="E32" s="236"/>
      <c r="F32" s="236"/>
      <c r="G32" s="237"/>
      <c r="H32" s="238"/>
      <c r="I32" s="16"/>
      <c r="J32" s="124"/>
      <c r="K32" s="197">
        <v>17.28</v>
      </c>
      <c r="L32" s="35">
        <v>0</v>
      </c>
      <c r="M32" s="35">
        <v>5.8410000000000002</v>
      </c>
      <c r="N32" s="35">
        <v>0.34599999999999997</v>
      </c>
      <c r="O32" s="227">
        <v>23.466999999999999</v>
      </c>
      <c r="P32" s="126">
        <v>3.7199999999999997E-2</v>
      </c>
      <c r="Q32" s="124"/>
      <c r="R32" s="18">
        <f t="shared" si="0"/>
        <v>23.466999999999999</v>
      </c>
    </row>
    <row r="33" spans="1:19" s="123" customFormat="1" ht="25" x14ac:dyDescent="0.35">
      <c r="A33" s="136">
        <v>7654</v>
      </c>
      <c r="B33" s="137">
        <v>60884835</v>
      </c>
      <c r="C33" s="121" t="s">
        <v>27</v>
      </c>
      <c r="D33" s="239">
        <v>0</v>
      </c>
      <c r="E33" s="236">
        <v>44</v>
      </c>
      <c r="F33" s="236">
        <v>0</v>
      </c>
      <c r="G33" s="237">
        <v>0</v>
      </c>
      <c r="H33" s="238">
        <v>44</v>
      </c>
      <c r="I33" s="16">
        <v>0</v>
      </c>
      <c r="J33" s="124"/>
      <c r="K33" s="197">
        <v>0</v>
      </c>
      <c r="L33" s="35">
        <v>88</v>
      </c>
      <c r="M33" s="35">
        <v>0</v>
      </c>
      <c r="N33" s="35">
        <v>0</v>
      </c>
      <c r="O33" s="227">
        <v>88</v>
      </c>
      <c r="P33" s="126">
        <v>0</v>
      </c>
      <c r="Q33" s="124"/>
      <c r="R33" s="18">
        <f t="shared" si="0"/>
        <v>132</v>
      </c>
    </row>
    <row r="34" spans="1:19" s="123" customFormat="1" ht="43.5" x14ac:dyDescent="0.35">
      <c r="A34" s="136">
        <v>7660</v>
      </c>
      <c r="B34" s="137">
        <v>70980861</v>
      </c>
      <c r="C34" s="300" t="s">
        <v>121</v>
      </c>
      <c r="D34" s="239"/>
      <c r="E34" s="236"/>
      <c r="F34" s="236"/>
      <c r="G34" s="237"/>
      <c r="H34" s="238"/>
      <c r="I34" s="16"/>
      <c r="J34" s="124"/>
      <c r="K34" s="197">
        <v>0</v>
      </c>
      <c r="L34" s="288">
        <f>21.6-3.3</f>
        <v>18.3</v>
      </c>
      <c r="M34" s="35">
        <v>0</v>
      </c>
      <c r="N34" s="35">
        <v>0</v>
      </c>
      <c r="O34" s="227">
        <v>18.3</v>
      </c>
      <c r="P34" s="126">
        <v>0</v>
      </c>
      <c r="Q34" s="124"/>
      <c r="R34" s="18">
        <f t="shared" si="0"/>
        <v>18.3</v>
      </c>
    </row>
    <row r="35" spans="1:19" s="123" customFormat="1" ht="43.5" x14ac:dyDescent="0.35">
      <c r="A35" s="138">
        <v>7665</v>
      </c>
      <c r="B35" s="142">
        <v>28859235</v>
      </c>
      <c r="C35" s="119" t="s">
        <v>122</v>
      </c>
      <c r="D35" s="239"/>
      <c r="E35" s="236"/>
      <c r="F35" s="236"/>
      <c r="G35" s="237"/>
      <c r="H35" s="238"/>
      <c r="I35" s="16"/>
      <c r="J35" s="124"/>
      <c r="K35" s="197">
        <v>0</v>
      </c>
      <c r="L35" s="35">
        <v>20.52</v>
      </c>
      <c r="M35" s="35">
        <v>0</v>
      </c>
      <c r="N35" s="35">
        <v>0</v>
      </c>
      <c r="O35" s="227">
        <v>20.52</v>
      </c>
      <c r="P35" s="126">
        <v>0</v>
      </c>
      <c r="Q35" s="124"/>
      <c r="R35" s="18">
        <f t="shared" si="0"/>
        <v>20.52</v>
      </c>
    </row>
    <row r="36" spans="1:19" s="123" customFormat="1" ht="43.5" x14ac:dyDescent="0.35">
      <c r="A36" s="138">
        <v>7655</v>
      </c>
      <c r="B36" s="142">
        <v>70980462</v>
      </c>
      <c r="C36" s="119" t="s">
        <v>123</v>
      </c>
      <c r="D36" s="239"/>
      <c r="E36" s="236"/>
      <c r="F36" s="236"/>
      <c r="G36" s="237"/>
      <c r="H36" s="238"/>
      <c r="I36" s="16"/>
      <c r="J36" s="124"/>
      <c r="K36" s="197">
        <v>0</v>
      </c>
      <c r="L36" s="35">
        <v>38.4</v>
      </c>
      <c r="M36" s="35">
        <v>0</v>
      </c>
      <c r="N36" s="35">
        <v>0</v>
      </c>
      <c r="O36" s="227">
        <v>38.4</v>
      </c>
      <c r="P36" s="126">
        <v>0</v>
      </c>
      <c r="Q36" s="124"/>
      <c r="R36" s="18">
        <f t="shared" si="0"/>
        <v>38.4</v>
      </c>
    </row>
    <row r="37" spans="1:19" s="123" customFormat="1" x14ac:dyDescent="0.35">
      <c r="A37" s="138">
        <v>7683</v>
      </c>
      <c r="B37" s="131">
        <v>70979642</v>
      </c>
      <c r="C37" s="272" t="s">
        <v>129</v>
      </c>
      <c r="D37" s="239">
        <v>8</v>
      </c>
      <c r="E37" s="236"/>
      <c r="F37" s="236">
        <v>2.7040000000000002</v>
      </c>
      <c r="G37" s="237">
        <v>0.16</v>
      </c>
      <c r="H37" s="238">
        <v>10.864000000000001</v>
      </c>
      <c r="I37" s="16">
        <v>1.0699999999999999E-2</v>
      </c>
      <c r="J37" s="124"/>
      <c r="K37" s="197"/>
      <c r="L37" s="35"/>
      <c r="M37" s="35"/>
      <c r="N37" s="35"/>
      <c r="O37" s="227"/>
      <c r="P37" s="126"/>
      <c r="Q37" s="124"/>
      <c r="R37" s="18">
        <f>H37+O37</f>
        <v>10.864000000000001</v>
      </c>
    </row>
    <row r="38" spans="1:19" s="123" customFormat="1" ht="25" x14ac:dyDescent="0.35">
      <c r="A38" s="136">
        <v>7805</v>
      </c>
      <c r="B38" s="137">
        <v>60154730</v>
      </c>
      <c r="C38" s="121" t="s">
        <v>16</v>
      </c>
      <c r="D38" s="239">
        <v>0</v>
      </c>
      <c r="E38" s="236">
        <v>29.25</v>
      </c>
      <c r="F38" s="236">
        <v>9.8870000000000005</v>
      </c>
      <c r="G38" s="237">
        <v>0</v>
      </c>
      <c r="H38" s="238">
        <v>39.137</v>
      </c>
      <c r="I38" s="16">
        <v>0</v>
      </c>
      <c r="J38" s="124"/>
      <c r="K38" s="197">
        <v>0</v>
      </c>
      <c r="L38" s="35">
        <v>180</v>
      </c>
      <c r="M38" s="35">
        <v>60.84</v>
      </c>
      <c r="N38" s="35">
        <v>0</v>
      </c>
      <c r="O38" s="227">
        <v>240.84</v>
      </c>
      <c r="P38" s="126">
        <v>0</v>
      </c>
      <c r="Q38" s="124"/>
      <c r="R38" s="18">
        <f t="shared" si="0"/>
        <v>279.97699999999998</v>
      </c>
    </row>
    <row r="39" spans="1:19" s="123" customFormat="1" x14ac:dyDescent="0.35">
      <c r="A39" s="136">
        <v>7833</v>
      </c>
      <c r="B39" s="143">
        <v>64201121</v>
      </c>
      <c r="C39" s="299" t="s">
        <v>28</v>
      </c>
      <c r="D39" s="239">
        <v>0</v>
      </c>
      <c r="E39" s="271">
        <f>54-15</f>
        <v>39</v>
      </c>
      <c r="F39" s="236">
        <v>0</v>
      </c>
      <c r="G39" s="237">
        <v>0</v>
      </c>
      <c r="H39" s="238">
        <v>39</v>
      </c>
      <c r="I39" s="16">
        <v>0</v>
      </c>
      <c r="J39" s="124"/>
      <c r="K39" s="197">
        <v>0</v>
      </c>
      <c r="L39" s="288">
        <f>126-23.4</f>
        <v>102.6</v>
      </c>
      <c r="M39" s="288">
        <f>42.588-8.071</f>
        <v>34.517000000000003</v>
      </c>
      <c r="N39" s="35">
        <v>0</v>
      </c>
      <c r="O39" s="227">
        <v>137.11699999999999</v>
      </c>
      <c r="P39" s="126">
        <v>0</v>
      </c>
      <c r="Q39" s="124"/>
      <c r="R39" s="18">
        <f t="shared" si="0"/>
        <v>176.11699999999999</v>
      </c>
    </row>
    <row r="40" spans="1:19" s="123" customFormat="1" ht="43.5" x14ac:dyDescent="0.35">
      <c r="A40" s="136">
        <v>7854</v>
      </c>
      <c r="B40" s="143">
        <v>49290266</v>
      </c>
      <c r="C40" s="120" t="s">
        <v>125</v>
      </c>
      <c r="D40" s="239"/>
      <c r="E40" s="236"/>
      <c r="F40" s="236"/>
      <c r="G40" s="237"/>
      <c r="H40" s="240"/>
      <c r="I40" s="16"/>
      <c r="J40" s="124"/>
      <c r="K40" s="251">
        <v>0</v>
      </c>
      <c r="L40" s="96">
        <v>32.4</v>
      </c>
      <c r="M40" s="96">
        <v>0</v>
      </c>
      <c r="N40" s="96">
        <v>0</v>
      </c>
      <c r="O40" s="252">
        <v>32.4</v>
      </c>
      <c r="P40" s="307">
        <v>0</v>
      </c>
      <c r="Q40" s="124"/>
      <c r="R40" s="18">
        <f t="shared" si="0"/>
        <v>32.4</v>
      </c>
    </row>
    <row r="41" spans="1:19" s="123" customFormat="1" x14ac:dyDescent="0.35">
      <c r="A41" s="136">
        <v>7831</v>
      </c>
      <c r="B41" s="143">
        <v>75009617</v>
      </c>
      <c r="C41" s="298" t="s">
        <v>124</v>
      </c>
      <c r="D41" s="239"/>
      <c r="E41" s="236"/>
      <c r="F41" s="236"/>
      <c r="G41" s="237"/>
      <c r="H41" s="240"/>
      <c r="I41" s="16"/>
      <c r="J41" s="124"/>
      <c r="K41" s="251">
        <v>0</v>
      </c>
      <c r="L41" s="288">
        <f>4.176-2.494</f>
        <v>1.6819999999999999</v>
      </c>
      <c r="M41" s="96">
        <v>0</v>
      </c>
      <c r="N41" s="96">
        <v>0</v>
      </c>
      <c r="O41" s="252">
        <v>1.6819999999999999</v>
      </c>
      <c r="P41" s="307">
        <v>0</v>
      </c>
      <c r="Q41" s="124"/>
      <c r="R41" s="18">
        <f t="shared" si="0"/>
        <v>1.6819999999999999</v>
      </c>
    </row>
    <row r="42" spans="1:19" s="123" customFormat="1" ht="20.25" customHeight="1" thickBot="1" x14ac:dyDescent="0.4">
      <c r="A42" s="136">
        <v>7893</v>
      </c>
      <c r="B42" s="143">
        <v>68247630</v>
      </c>
      <c r="C42" s="297" t="s">
        <v>29</v>
      </c>
      <c r="D42" s="239">
        <v>0</v>
      </c>
      <c r="E42" s="236">
        <v>12.6</v>
      </c>
      <c r="F42" s="236">
        <v>0</v>
      </c>
      <c r="G42" s="237">
        <v>0</v>
      </c>
      <c r="H42" s="238">
        <v>12.6</v>
      </c>
      <c r="I42" s="16">
        <v>0</v>
      </c>
      <c r="J42" s="124"/>
      <c r="K42" s="235">
        <v>0</v>
      </c>
      <c r="L42" s="288">
        <f>43.2-5.4</f>
        <v>37.800000000000004</v>
      </c>
      <c r="M42" s="37">
        <v>0</v>
      </c>
      <c r="N42" s="37">
        <v>0</v>
      </c>
      <c r="O42" s="253">
        <v>37.799999999999997</v>
      </c>
      <c r="P42" s="308">
        <v>0</v>
      </c>
      <c r="Q42" s="124"/>
      <c r="R42" s="18">
        <f t="shared" si="0"/>
        <v>50.4</v>
      </c>
    </row>
    <row r="43" spans="1:19" x14ac:dyDescent="0.35">
      <c r="C43" s="29" t="s">
        <v>12</v>
      </c>
      <c r="D43" s="20">
        <f t="shared" ref="D43:I43" si="1">SUM(D5:D42)</f>
        <v>333.61599999999999</v>
      </c>
      <c r="E43" s="20">
        <f t="shared" si="1"/>
        <v>237.54999999999998</v>
      </c>
      <c r="F43" s="20">
        <f t="shared" si="1"/>
        <v>134.47899999999998</v>
      </c>
      <c r="G43" s="20">
        <f t="shared" si="1"/>
        <v>6.6720000000000006</v>
      </c>
      <c r="H43" s="20">
        <f t="shared" si="1"/>
        <v>712.31700000000012</v>
      </c>
      <c r="I43" s="149">
        <f t="shared" si="1"/>
        <v>0.72529999999999994</v>
      </c>
      <c r="J43" s="21"/>
      <c r="K43" s="20">
        <f t="shared" ref="K43:P43" si="2">SUM(K5:K42)</f>
        <v>1386.3959999999997</v>
      </c>
      <c r="L43" s="20">
        <f t="shared" si="2"/>
        <v>1169.577</v>
      </c>
      <c r="M43" s="20">
        <f t="shared" si="2"/>
        <v>692.85600000000022</v>
      </c>
      <c r="N43" s="20">
        <f t="shared" si="2"/>
        <v>27.727999999999998</v>
      </c>
      <c r="O43" s="20">
        <f t="shared" si="2"/>
        <v>3276.5570000000007</v>
      </c>
      <c r="P43" s="21">
        <f t="shared" si="2"/>
        <v>2.9529999999999998</v>
      </c>
      <c r="R43" s="20">
        <f>SUM(R5:R42)</f>
        <v>3988.8740000000003</v>
      </c>
    </row>
    <row r="47" spans="1:19" x14ac:dyDescent="0.35">
      <c r="S47" t="s">
        <v>149</v>
      </c>
    </row>
  </sheetData>
  <customSheetViews>
    <customSheetView guid="{A687C76D-0A25-4B23-B774-83E5858950A5}">
      <pane xSplit="3" ySplit="3" topLeftCell="D4" activePane="bottomRight" state="frozen"/>
      <selection pane="bottomRight" activeCell="G10" sqref="G10"/>
      <pageMargins left="0.7" right="0.7" top="0.75" bottom="0.75" header="0.3" footer="0.3"/>
    </customSheetView>
    <customSheetView guid="{C95316B6-A37E-4534-B810-A6A18951EFBB}" scale="80">
      <pane xSplit="3" ySplit="3" topLeftCell="D24" activePane="bottomRight" state="frozen"/>
      <selection pane="bottomRight" activeCell="I43" sqref="I43"/>
      <pageMargins left="0.7" right="0.7" top="0.75" bottom="0.75" header="0.3" footer="0.3"/>
    </customSheetView>
    <customSheetView guid="{EE87481B-D9DE-4AE9-91B4-0C77BAFFD3EF}" hiddenColumns="1">
      <pane xSplit="3" ySplit="4" topLeftCell="M29" activePane="bottomRight" state="frozen"/>
      <selection pane="bottomRight" activeCell="AD44" sqref="AD44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42107-34ED-4200-B070-BBD82DF30EA4}">
  <sheetPr>
    <tabColor rgb="FFFFFF00"/>
  </sheetPr>
  <dimension ref="A1:S90"/>
  <sheetViews>
    <sheetView tabSelected="1" zoomScale="80" workbookViewId="0">
      <pane xSplit="3" ySplit="4" topLeftCell="D43" activePane="bottomRight" state="frozen"/>
      <selection pane="topRight" activeCell="D1" sqref="D1"/>
      <selection pane="bottomLeft" activeCell="A5" sqref="A5"/>
      <selection pane="bottomRight" activeCell="L4" sqref="L4"/>
    </sheetView>
  </sheetViews>
  <sheetFormatPr defaultRowHeight="14.5" x14ac:dyDescent="0.35"/>
  <cols>
    <col min="1" max="1" width="5.6328125" customWidth="1"/>
    <col min="2" max="2" width="13.36328125" customWidth="1"/>
    <col min="3" max="3" width="38.453125" customWidth="1"/>
    <col min="4" max="4" width="12.6328125" customWidth="1"/>
    <col min="5" max="5" width="11" bestFit="1" customWidth="1"/>
    <col min="6" max="6" width="11.6328125" customWidth="1"/>
    <col min="7" max="7" width="9.90625" bestFit="1" customWidth="1"/>
    <col min="8" max="8" width="12" bestFit="1" customWidth="1"/>
    <col min="10" max="10" width="3" customWidth="1"/>
    <col min="11" max="11" width="13.54296875" bestFit="1" customWidth="1"/>
    <col min="12" max="12" width="11.36328125" customWidth="1"/>
    <col min="13" max="13" width="11.08984375" bestFit="1" customWidth="1"/>
    <col min="14" max="14" width="10.08984375" bestFit="1" customWidth="1"/>
    <col min="15" max="15" width="15.90625" bestFit="1" customWidth="1"/>
    <col min="16" max="16" width="9.453125" bestFit="1" customWidth="1"/>
    <col min="17" max="17" width="3.08984375" customWidth="1"/>
    <col min="18" max="18" width="12.36328125" customWidth="1"/>
  </cols>
  <sheetData>
    <row r="1" spans="1:19" ht="15.5" x14ac:dyDescent="0.35">
      <c r="A1" s="9" t="s">
        <v>178</v>
      </c>
    </row>
    <row r="2" spans="1:19" ht="15.5" x14ac:dyDescent="0.35">
      <c r="A2" s="9"/>
      <c r="C2" s="9"/>
    </row>
    <row r="3" spans="1:19" ht="15" thickBot="1" x14ac:dyDescent="0.4">
      <c r="A3" s="10" t="s">
        <v>8</v>
      </c>
      <c r="D3" t="s">
        <v>154</v>
      </c>
      <c r="K3" t="s">
        <v>177</v>
      </c>
      <c r="R3" s="71" t="s">
        <v>13</v>
      </c>
    </row>
    <row r="4" spans="1:19" ht="26.5" thickBot="1" x14ac:dyDescent="0.4">
      <c r="A4" s="1" t="s">
        <v>0</v>
      </c>
      <c r="B4" s="2" t="s">
        <v>9</v>
      </c>
      <c r="C4" s="3" t="s">
        <v>1</v>
      </c>
      <c r="D4" s="11" t="s">
        <v>2</v>
      </c>
      <c r="E4" s="12" t="s">
        <v>3</v>
      </c>
      <c r="F4" s="12" t="s">
        <v>4</v>
      </c>
      <c r="G4" s="13" t="s">
        <v>5</v>
      </c>
      <c r="H4" s="14" t="s">
        <v>6</v>
      </c>
      <c r="I4" s="15" t="s">
        <v>7</v>
      </c>
      <c r="K4" s="360" t="s">
        <v>2</v>
      </c>
      <c r="L4" s="361" t="s">
        <v>3</v>
      </c>
      <c r="M4" s="361" t="s">
        <v>4</v>
      </c>
      <c r="N4" s="361" t="s">
        <v>5</v>
      </c>
      <c r="O4" s="362" t="s">
        <v>6</v>
      </c>
      <c r="P4" s="363" t="s">
        <v>7</v>
      </c>
      <c r="R4" s="7" t="s">
        <v>6</v>
      </c>
    </row>
    <row r="5" spans="1:19" s="123" customFormat="1" ht="28" x14ac:dyDescent="0.35">
      <c r="A5" s="276">
        <v>7006</v>
      </c>
      <c r="B5" s="399">
        <v>71000682</v>
      </c>
      <c r="C5" s="314" t="s">
        <v>31</v>
      </c>
      <c r="D5" s="346">
        <v>0</v>
      </c>
      <c r="E5" s="347">
        <v>4</v>
      </c>
      <c r="F5" s="347">
        <v>0</v>
      </c>
      <c r="G5" s="347">
        <v>0</v>
      </c>
      <c r="H5" s="348">
        <v>4</v>
      </c>
      <c r="I5" s="349">
        <v>0</v>
      </c>
      <c r="J5" s="124"/>
      <c r="K5" s="341">
        <v>0</v>
      </c>
      <c r="L5" s="342">
        <v>0</v>
      </c>
      <c r="M5" s="342">
        <v>0</v>
      </c>
      <c r="N5" s="342">
        <v>0</v>
      </c>
      <c r="O5" s="343">
        <v>0</v>
      </c>
      <c r="P5" s="344">
        <v>0</v>
      </c>
      <c r="Q5" s="124"/>
      <c r="R5" s="254">
        <f t="shared" ref="R5:R40" si="0">H5+O5</f>
        <v>4</v>
      </c>
      <c r="S5" s="406"/>
    </row>
    <row r="6" spans="1:19" s="123" customFormat="1" ht="28" x14ac:dyDescent="0.35">
      <c r="A6" s="276">
        <v>7009</v>
      </c>
      <c r="B6" s="399">
        <v>71000640</v>
      </c>
      <c r="C6" s="314" t="s">
        <v>82</v>
      </c>
      <c r="D6" s="340">
        <v>0</v>
      </c>
      <c r="E6" s="338">
        <v>3</v>
      </c>
      <c r="F6" s="338">
        <v>0</v>
      </c>
      <c r="G6" s="338">
        <v>0</v>
      </c>
      <c r="H6" s="339">
        <v>3</v>
      </c>
      <c r="I6" s="350">
        <v>0</v>
      </c>
      <c r="J6" s="124"/>
      <c r="K6" s="341">
        <v>0</v>
      </c>
      <c r="L6" s="342">
        <v>0</v>
      </c>
      <c r="M6" s="342">
        <v>0</v>
      </c>
      <c r="N6" s="342">
        <v>0</v>
      </c>
      <c r="O6" s="343">
        <v>0</v>
      </c>
      <c r="P6" s="344">
        <v>0</v>
      </c>
      <c r="Q6" s="124"/>
      <c r="R6" s="254">
        <f t="shared" si="0"/>
        <v>3</v>
      </c>
    </row>
    <row r="7" spans="1:19" s="123" customFormat="1" ht="28" x14ac:dyDescent="0.35">
      <c r="A7" s="276">
        <v>7040</v>
      </c>
      <c r="B7" s="399">
        <v>75018136</v>
      </c>
      <c r="C7" s="102" t="s">
        <v>32</v>
      </c>
      <c r="D7" s="340">
        <v>0</v>
      </c>
      <c r="E7" s="338">
        <v>12</v>
      </c>
      <c r="F7" s="338">
        <v>0</v>
      </c>
      <c r="G7" s="338">
        <v>0</v>
      </c>
      <c r="H7" s="339">
        <v>12</v>
      </c>
      <c r="I7" s="350">
        <v>0</v>
      </c>
      <c r="J7" s="124"/>
      <c r="K7" s="341">
        <v>0</v>
      </c>
      <c r="L7" s="342">
        <v>20.399999999999999</v>
      </c>
      <c r="M7" s="342">
        <v>0</v>
      </c>
      <c r="N7" s="342">
        <v>0</v>
      </c>
      <c r="O7" s="343">
        <v>20.399999999999999</v>
      </c>
      <c r="P7" s="344">
        <v>0</v>
      </c>
      <c r="Q7" s="124"/>
      <c r="R7" s="254">
        <f t="shared" si="0"/>
        <v>32.4</v>
      </c>
    </row>
    <row r="8" spans="1:19" s="123" customFormat="1" ht="28" x14ac:dyDescent="0.35">
      <c r="A8" s="276">
        <v>7047</v>
      </c>
      <c r="B8" s="399">
        <v>75008319</v>
      </c>
      <c r="C8" s="102" t="s">
        <v>155</v>
      </c>
      <c r="D8" s="340">
        <v>0</v>
      </c>
      <c r="E8" s="338">
        <v>7</v>
      </c>
      <c r="F8" s="338">
        <v>0</v>
      </c>
      <c r="G8" s="338">
        <v>0</v>
      </c>
      <c r="H8" s="339">
        <v>7</v>
      </c>
      <c r="I8" s="350">
        <v>0</v>
      </c>
      <c r="J8" s="124"/>
      <c r="K8" s="341">
        <v>0</v>
      </c>
      <c r="L8" s="342">
        <v>0</v>
      </c>
      <c r="M8" s="342">
        <v>0</v>
      </c>
      <c r="N8" s="342">
        <v>0</v>
      </c>
      <c r="O8" s="343">
        <v>0</v>
      </c>
      <c r="P8" s="344">
        <v>0</v>
      </c>
      <c r="Q8" s="124"/>
      <c r="R8" s="254">
        <f t="shared" si="0"/>
        <v>7</v>
      </c>
    </row>
    <row r="9" spans="1:19" s="123" customFormat="1" ht="28" x14ac:dyDescent="0.35">
      <c r="A9" s="276">
        <v>7049</v>
      </c>
      <c r="B9" s="399">
        <v>75015854</v>
      </c>
      <c r="C9" s="102" t="s">
        <v>156</v>
      </c>
      <c r="D9" s="340">
        <v>0</v>
      </c>
      <c r="E9" s="338">
        <v>4</v>
      </c>
      <c r="F9" s="338">
        <v>0</v>
      </c>
      <c r="G9" s="338">
        <v>0</v>
      </c>
      <c r="H9" s="339">
        <v>4</v>
      </c>
      <c r="I9" s="350">
        <v>0</v>
      </c>
      <c r="J9" s="124"/>
      <c r="K9" s="341">
        <v>0</v>
      </c>
      <c r="L9" s="342">
        <v>6</v>
      </c>
      <c r="M9" s="342">
        <v>0</v>
      </c>
      <c r="N9" s="342">
        <v>0</v>
      </c>
      <c r="O9" s="343">
        <v>6</v>
      </c>
      <c r="P9" s="344">
        <v>0</v>
      </c>
      <c r="Q9" s="124"/>
      <c r="R9" s="254">
        <f t="shared" si="0"/>
        <v>10</v>
      </c>
    </row>
    <row r="10" spans="1:19" s="123" customFormat="1" ht="28" x14ac:dyDescent="0.35">
      <c r="A10" s="276">
        <v>7050</v>
      </c>
      <c r="B10" s="399">
        <v>71004475</v>
      </c>
      <c r="C10" s="102" t="s">
        <v>157</v>
      </c>
      <c r="D10" s="340">
        <v>0</v>
      </c>
      <c r="E10" s="338">
        <v>6.5</v>
      </c>
      <c r="F10" s="338">
        <v>0</v>
      </c>
      <c r="G10" s="338">
        <v>0</v>
      </c>
      <c r="H10" s="339">
        <v>6.5</v>
      </c>
      <c r="I10" s="350">
        <v>0</v>
      </c>
      <c r="J10" s="124"/>
      <c r="K10" s="341">
        <v>0</v>
      </c>
      <c r="L10" s="386">
        <f>12-3.75</f>
        <v>8.25</v>
      </c>
      <c r="M10" s="342">
        <v>0</v>
      </c>
      <c r="N10" s="342">
        <v>0</v>
      </c>
      <c r="O10" s="386">
        <f>12-3.75</f>
        <v>8.25</v>
      </c>
      <c r="P10" s="344">
        <v>0</v>
      </c>
      <c r="Q10" s="124"/>
      <c r="R10" s="254">
        <f t="shared" si="0"/>
        <v>14.75</v>
      </c>
    </row>
    <row r="11" spans="1:19" s="123" customFormat="1" ht="28" x14ac:dyDescent="0.35">
      <c r="A11" s="276">
        <v>7056</v>
      </c>
      <c r="B11" s="399">
        <v>69172366</v>
      </c>
      <c r="C11" s="102" t="s">
        <v>34</v>
      </c>
      <c r="D11" s="340">
        <v>0</v>
      </c>
      <c r="E11" s="338">
        <v>36</v>
      </c>
      <c r="F11" s="338">
        <v>0</v>
      </c>
      <c r="G11" s="338">
        <v>0</v>
      </c>
      <c r="H11" s="339">
        <v>36</v>
      </c>
      <c r="I11" s="350">
        <v>0</v>
      </c>
      <c r="J11" s="124"/>
      <c r="K11" s="372">
        <v>0</v>
      </c>
      <c r="L11" s="387">
        <f>64.8-35.8</f>
        <v>29</v>
      </c>
      <c r="M11" s="170">
        <v>0</v>
      </c>
      <c r="N11" s="170">
        <v>0</v>
      </c>
      <c r="O11" s="387">
        <f>64.8-35.8</f>
        <v>29</v>
      </c>
      <c r="P11" s="365">
        <v>0</v>
      </c>
      <c r="Q11" s="124"/>
      <c r="R11" s="254">
        <f t="shared" si="0"/>
        <v>65</v>
      </c>
    </row>
    <row r="12" spans="1:19" s="123" customFormat="1" ht="28" x14ac:dyDescent="0.35">
      <c r="A12" s="276">
        <v>7057</v>
      </c>
      <c r="B12" s="399">
        <v>62694774</v>
      </c>
      <c r="C12" s="102" t="s">
        <v>85</v>
      </c>
      <c r="D12" s="340">
        <v>0</v>
      </c>
      <c r="E12" s="338">
        <v>22.5</v>
      </c>
      <c r="F12" s="338">
        <v>0</v>
      </c>
      <c r="G12" s="338">
        <v>0</v>
      </c>
      <c r="H12" s="339">
        <v>22.5</v>
      </c>
      <c r="I12" s="350">
        <v>0</v>
      </c>
      <c r="J12" s="124"/>
      <c r="K12" s="372">
        <v>0</v>
      </c>
      <c r="L12" s="387">
        <f>39.6-0.9</f>
        <v>38.700000000000003</v>
      </c>
      <c r="M12" s="170">
        <v>0</v>
      </c>
      <c r="N12" s="170">
        <v>0</v>
      </c>
      <c r="O12" s="387">
        <f>39.6-0.9</f>
        <v>38.700000000000003</v>
      </c>
      <c r="P12" s="365">
        <v>0</v>
      </c>
      <c r="Q12" s="124"/>
      <c r="R12" s="254">
        <f t="shared" si="0"/>
        <v>61.2</v>
      </c>
    </row>
    <row r="13" spans="1:19" s="123" customFormat="1" ht="28" x14ac:dyDescent="0.35">
      <c r="A13" s="276">
        <v>7058</v>
      </c>
      <c r="B13" s="399">
        <v>62693123</v>
      </c>
      <c r="C13" s="102" t="s">
        <v>35</v>
      </c>
      <c r="D13" s="340">
        <v>0</v>
      </c>
      <c r="E13" s="338">
        <v>20</v>
      </c>
      <c r="F13" s="338">
        <v>0</v>
      </c>
      <c r="G13" s="338">
        <v>0</v>
      </c>
      <c r="H13" s="339">
        <v>20</v>
      </c>
      <c r="I13" s="350">
        <v>0</v>
      </c>
      <c r="J13" s="124"/>
      <c r="K13" s="372">
        <v>0</v>
      </c>
      <c r="L13" s="170">
        <v>30</v>
      </c>
      <c r="M13" s="170">
        <v>0</v>
      </c>
      <c r="N13" s="170">
        <v>0</v>
      </c>
      <c r="O13" s="373">
        <v>30</v>
      </c>
      <c r="P13" s="365">
        <v>0</v>
      </c>
      <c r="Q13" s="124"/>
      <c r="R13" s="254">
        <f t="shared" si="0"/>
        <v>50</v>
      </c>
    </row>
    <row r="14" spans="1:19" s="123" customFormat="1" ht="28" x14ac:dyDescent="0.35">
      <c r="A14" s="276">
        <v>7060</v>
      </c>
      <c r="B14" s="399">
        <v>62060422</v>
      </c>
      <c r="C14" s="102" t="s">
        <v>36</v>
      </c>
      <c r="D14" s="340">
        <v>0</v>
      </c>
      <c r="E14" s="338">
        <v>24.5</v>
      </c>
      <c r="F14" s="338">
        <v>0</v>
      </c>
      <c r="G14" s="338">
        <v>0</v>
      </c>
      <c r="H14" s="339">
        <v>24.5</v>
      </c>
      <c r="I14" s="350">
        <v>0</v>
      </c>
      <c r="J14" s="124"/>
      <c r="K14" s="372">
        <v>0</v>
      </c>
      <c r="L14" s="170">
        <v>34.799999999999997</v>
      </c>
      <c r="M14" s="170">
        <v>0</v>
      </c>
      <c r="N14" s="170">
        <v>0</v>
      </c>
      <c r="O14" s="373">
        <v>34.799999999999997</v>
      </c>
      <c r="P14" s="365">
        <v>0</v>
      </c>
      <c r="Q14" s="124"/>
      <c r="R14" s="254">
        <f t="shared" si="0"/>
        <v>59.3</v>
      </c>
    </row>
    <row r="15" spans="1:19" s="123" customFormat="1" ht="28" x14ac:dyDescent="0.35">
      <c r="A15" s="276">
        <v>7061</v>
      </c>
      <c r="B15" s="399">
        <v>70886083</v>
      </c>
      <c r="C15" s="102" t="s">
        <v>37</v>
      </c>
      <c r="D15" s="340">
        <v>0</v>
      </c>
      <c r="E15" s="338">
        <v>45</v>
      </c>
      <c r="F15" s="338">
        <v>0</v>
      </c>
      <c r="G15" s="338">
        <v>0</v>
      </c>
      <c r="H15" s="339">
        <v>45</v>
      </c>
      <c r="I15" s="350">
        <v>0</v>
      </c>
      <c r="J15" s="124"/>
      <c r="K15" s="372">
        <v>0</v>
      </c>
      <c r="L15" s="387">
        <f>96.6-8.4</f>
        <v>88.199999999999989</v>
      </c>
      <c r="M15" s="170">
        <v>0</v>
      </c>
      <c r="N15" s="170">
        <v>0</v>
      </c>
      <c r="O15" s="387">
        <f>96.6-8.4</f>
        <v>88.199999999999989</v>
      </c>
      <c r="P15" s="365">
        <v>0</v>
      </c>
      <c r="Q15" s="124"/>
      <c r="R15" s="254">
        <f t="shared" si="0"/>
        <v>133.19999999999999</v>
      </c>
    </row>
    <row r="16" spans="1:19" s="123" customFormat="1" ht="29" x14ac:dyDescent="0.35">
      <c r="A16" s="276">
        <v>7062</v>
      </c>
      <c r="B16" s="399">
        <v>62695177</v>
      </c>
      <c r="C16" s="315" t="s">
        <v>18</v>
      </c>
      <c r="D16" s="340">
        <v>81.936000000000007</v>
      </c>
      <c r="E16" s="338">
        <v>0</v>
      </c>
      <c r="F16" s="338">
        <v>27.693999999999999</v>
      </c>
      <c r="G16" s="338">
        <v>1.639</v>
      </c>
      <c r="H16" s="339">
        <v>111.26900000000001</v>
      </c>
      <c r="I16" s="350">
        <v>0.18179999999999999</v>
      </c>
      <c r="J16" s="124"/>
      <c r="K16" s="372">
        <v>87.918000000000006</v>
      </c>
      <c r="L16" s="170">
        <v>0</v>
      </c>
      <c r="M16" s="170">
        <v>29.716000000000001</v>
      </c>
      <c r="N16" s="170">
        <v>1.758</v>
      </c>
      <c r="O16" s="373">
        <v>119.392</v>
      </c>
      <c r="P16" s="365">
        <v>0.2046</v>
      </c>
      <c r="Q16" s="124"/>
      <c r="R16" s="254">
        <f t="shared" si="0"/>
        <v>230.661</v>
      </c>
    </row>
    <row r="17" spans="1:18" s="123" customFormat="1" ht="42" x14ac:dyDescent="0.35">
      <c r="A17" s="276">
        <v>7064</v>
      </c>
      <c r="B17" s="399">
        <v>69172382</v>
      </c>
      <c r="C17" s="102" t="s">
        <v>158</v>
      </c>
      <c r="D17" s="340">
        <v>0</v>
      </c>
      <c r="E17" s="338">
        <v>22.5</v>
      </c>
      <c r="F17" s="338">
        <v>0</v>
      </c>
      <c r="G17" s="338">
        <v>0</v>
      </c>
      <c r="H17" s="339">
        <v>22.5</v>
      </c>
      <c r="I17" s="350">
        <v>0</v>
      </c>
      <c r="J17" s="124"/>
      <c r="K17" s="372">
        <v>0</v>
      </c>
      <c r="L17" s="170">
        <v>43.2</v>
      </c>
      <c r="M17" s="170">
        <v>0</v>
      </c>
      <c r="N17" s="170">
        <v>0</v>
      </c>
      <c r="O17" s="373">
        <v>43.2</v>
      </c>
      <c r="P17" s="365">
        <v>0</v>
      </c>
      <c r="Q17" s="124"/>
      <c r="R17" s="254">
        <f t="shared" si="0"/>
        <v>65.7</v>
      </c>
    </row>
    <row r="18" spans="1:18" s="123" customFormat="1" ht="28" x14ac:dyDescent="0.35">
      <c r="A18" s="276">
        <v>7065</v>
      </c>
      <c r="B18" s="399">
        <v>70886091</v>
      </c>
      <c r="C18" s="102" t="s">
        <v>38</v>
      </c>
      <c r="D18" s="340">
        <v>0</v>
      </c>
      <c r="E18" s="400">
        <f>35-9</f>
        <v>26</v>
      </c>
      <c r="F18" s="338">
        <v>0</v>
      </c>
      <c r="G18" s="338">
        <v>0</v>
      </c>
      <c r="H18" s="400">
        <f>35-9</f>
        <v>26</v>
      </c>
      <c r="I18" s="350">
        <v>0</v>
      </c>
      <c r="J18" s="124"/>
      <c r="K18" s="372">
        <v>0</v>
      </c>
      <c r="L18" s="387">
        <f>64.8-22.55</f>
        <v>42.25</v>
      </c>
      <c r="M18" s="170">
        <v>0</v>
      </c>
      <c r="N18" s="170">
        <v>0</v>
      </c>
      <c r="O18" s="387">
        <f>64.8-22.55</f>
        <v>42.25</v>
      </c>
      <c r="P18" s="365">
        <v>0</v>
      </c>
      <c r="Q18" s="124"/>
      <c r="R18" s="254">
        <f t="shared" si="0"/>
        <v>68.25</v>
      </c>
    </row>
    <row r="19" spans="1:18" s="123" customFormat="1" x14ac:dyDescent="0.35">
      <c r="A19" s="276">
        <v>7066</v>
      </c>
      <c r="B19" s="399">
        <v>62692755</v>
      </c>
      <c r="C19" s="102" t="s">
        <v>39</v>
      </c>
      <c r="D19" s="351">
        <v>144</v>
      </c>
      <c r="E19" s="338">
        <v>0</v>
      </c>
      <c r="F19" s="345">
        <v>48.671999999999997</v>
      </c>
      <c r="G19" s="345">
        <v>2.88</v>
      </c>
      <c r="H19" s="339">
        <v>195.55199999999999</v>
      </c>
      <c r="I19" s="352">
        <v>0.30299999999999999</v>
      </c>
      <c r="J19" s="124"/>
      <c r="K19" s="372">
        <v>233.34800000000001</v>
      </c>
      <c r="L19" s="170">
        <v>0</v>
      </c>
      <c r="M19" s="170">
        <v>78.872</v>
      </c>
      <c r="N19" s="170">
        <v>4.6680000000000001</v>
      </c>
      <c r="O19" s="373">
        <v>316.88799999999998</v>
      </c>
      <c r="P19" s="365">
        <v>0.45440000000000003</v>
      </c>
      <c r="Q19" s="124"/>
      <c r="R19" s="18">
        <f t="shared" si="0"/>
        <v>512.43999999999994</v>
      </c>
    </row>
    <row r="20" spans="1:18" s="123" customFormat="1" ht="28" x14ac:dyDescent="0.35">
      <c r="A20" s="276">
        <v>7069</v>
      </c>
      <c r="B20" s="399">
        <v>62694863</v>
      </c>
      <c r="C20" s="102" t="s">
        <v>86</v>
      </c>
      <c r="D20" s="340">
        <v>23.335000000000001</v>
      </c>
      <c r="E20" s="338">
        <v>12</v>
      </c>
      <c r="F20" s="338">
        <v>7.8869999999999996</v>
      </c>
      <c r="G20" s="338">
        <v>0.46700000000000003</v>
      </c>
      <c r="H20" s="339">
        <v>43.689</v>
      </c>
      <c r="I20" s="350">
        <v>4.5499999999999999E-2</v>
      </c>
      <c r="J20" s="124"/>
      <c r="K20" s="372">
        <v>35</v>
      </c>
      <c r="L20" s="170">
        <v>21</v>
      </c>
      <c r="M20" s="170">
        <v>11.83</v>
      </c>
      <c r="N20" s="170">
        <v>0.7</v>
      </c>
      <c r="O20" s="373">
        <v>68.53</v>
      </c>
      <c r="P20" s="365">
        <v>6.8199999999999997E-2</v>
      </c>
      <c r="Q20" s="124"/>
      <c r="R20" s="18">
        <f t="shared" si="0"/>
        <v>112.21899999999999</v>
      </c>
    </row>
    <row r="21" spans="1:18" s="123" customFormat="1" ht="29" x14ac:dyDescent="0.35">
      <c r="A21" s="276">
        <v>7074</v>
      </c>
      <c r="B21" s="399">
        <v>62695398</v>
      </c>
      <c r="C21" s="316" t="s">
        <v>40</v>
      </c>
      <c r="D21" s="340">
        <v>0</v>
      </c>
      <c r="E21" s="345">
        <v>45.5</v>
      </c>
      <c r="F21" s="338">
        <v>15.379</v>
      </c>
      <c r="G21" s="338">
        <v>0</v>
      </c>
      <c r="H21" s="339">
        <v>60.878999999999998</v>
      </c>
      <c r="I21" s="350">
        <v>0</v>
      </c>
      <c r="J21" s="124"/>
      <c r="K21" s="372">
        <v>0</v>
      </c>
      <c r="L21" s="170">
        <v>72.599999999999994</v>
      </c>
      <c r="M21" s="170">
        <v>0</v>
      </c>
      <c r="N21" s="170">
        <v>0</v>
      </c>
      <c r="O21" s="373">
        <v>72.599999999999994</v>
      </c>
      <c r="P21" s="365">
        <v>0</v>
      </c>
      <c r="Q21" s="124"/>
      <c r="R21" s="18">
        <f t="shared" si="0"/>
        <v>133.47899999999998</v>
      </c>
    </row>
    <row r="22" spans="1:18" s="123" customFormat="1" ht="28" x14ac:dyDescent="0.35">
      <c r="A22" s="276">
        <v>7079</v>
      </c>
      <c r="B22" s="399">
        <v>69172552</v>
      </c>
      <c r="C22" s="102" t="s">
        <v>88</v>
      </c>
      <c r="D22" s="340">
        <v>0</v>
      </c>
      <c r="E22" s="338">
        <v>17.75</v>
      </c>
      <c r="F22" s="338">
        <v>0</v>
      </c>
      <c r="G22" s="338">
        <v>0</v>
      </c>
      <c r="H22" s="339">
        <v>17.75</v>
      </c>
      <c r="I22" s="350">
        <v>0</v>
      </c>
      <c r="J22" s="124"/>
      <c r="K22" s="372">
        <v>0</v>
      </c>
      <c r="L22" s="170">
        <v>6.3</v>
      </c>
      <c r="M22" s="170">
        <v>0</v>
      </c>
      <c r="N22" s="170">
        <v>0</v>
      </c>
      <c r="O22" s="373">
        <v>6.3</v>
      </c>
      <c r="P22" s="365">
        <v>0</v>
      </c>
      <c r="Q22" s="124"/>
      <c r="R22" s="18">
        <f t="shared" si="0"/>
        <v>24.05</v>
      </c>
    </row>
    <row r="23" spans="1:18" s="123" customFormat="1" ht="28" x14ac:dyDescent="0.35">
      <c r="A23" s="276">
        <v>7080</v>
      </c>
      <c r="B23" s="399">
        <v>62690973</v>
      </c>
      <c r="C23" s="102" t="s">
        <v>89</v>
      </c>
      <c r="D23" s="340">
        <v>0</v>
      </c>
      <c r="E23" s="338">
        <v>27</v>
      </c>
      <c r="F23" s="338">
        <v>0</v>
      </c>
      <c r="G23" s="338">
        <v>0</v>
      </c>
      <c r="H23" s="339">
        <v>27</v>
      </c>
      <c r="I23" s="350">
        <v>0</v>
      </c>
      <c r="J23" s="124"/>
      <c r="K23" s="372">
        <v>0</v>
      </c>
      <c r="L23" s="387">
        <f>60.9-7.8</f>
        <v>53.1</v>
      </c>
      <c r="M23" s="170">
        <v>0</v>
      </c>
      <c r="N23" s="170">
        <v>0</v>
      </c>
      <c r="O23" s="387">
        <f>60.9-7.8</f>
        <v>53.1</v>
      </c>
      <c r="P23" s="365">
        <v>0</v>
      </c>
      <c r="Q23" s="124"/>
      <c r="R23" s="18">
        <f t="shared" si="0"/>
        <v>80.099999999999994</v>
      </c>
    </row>
    <row r="24" spans="1:18" s="123" customFormat="1" x14ac:dyDescent="0.35">
      <c r="A24" s="276">
        <v>7081</v>
      </c>
      <c r="B24" s="399">
        <v>75017181</v>
      </c>
      <c r="C24" s="102" t="s">
        <v>159</v>
      </c>
      <c r="D24" s="340">
        <v>0</v>
      </c>
      <c r="E24" s="400">
        <f>19.5-3.5</f>
        <v>16</v>
      </c>
      <c r="F24" s="338">
        <v>0</v>
      </c>
      <c r="G24" s="338">
        <v>0</v>
      </c>
      <c r="H24" s="401">
        <f>19.5-3.5</f>
        <v>16</v>
      </c>
      <c r="I24" s="350">
        <v>0</v>
      </c>
      <c r="J24" s="124"/>
      <c r="K24" s="372">
        <v>0</v>
      </c>
      <c r="L24" s="170">
        <v>36</v>
      </c>
      <c r="M24" s="170">
        <v>0</v>
      </c>
      <c r="N24" s="170">
        <v>0</v>
      </c>
      <c r="O24" s="373">
        <v>36</v>
      </c>
      <c r="P24" s="365">
        <v>0</v>
      </c>
      <c r="Q24" s="124"/>
      <c r="R24" s="18">
        <f t="shared" si="0"/>
        <v>52</v>
      </c>
    </row>
    <row r="25" spans="1:18" s="123" customFormat="1" ht="42" x14ac:dyDescent="0.35">
      <c r="A25" s="331">
        <v>7100</v>
      </c>
      <c r="B25" s="399">
        <v>75041511</v>
      </c>
      <c r="C25" s="314" t="s">
        <v>160</v>
      </c>
      <c r="D25" s="340">
        <v>0</v>
      </c>
      <c r="E25" s="338">
        <v>3.5</v>
      </c>
      <c r="F25" s="338">
        <v>0</v>
      </c>
      <c r="G25" s="338">
        <v>0</v>
      </c>
      <c r="H25" s="339">
        <v>3.5</v>
      </c>
      <c r="I25" s="350">
        <v>0</v>
      </c>
      <c r="J25" s="124"/>
      <c r="K25" s="303">
        <v>0</v>
      </c>
      <c r="L25" s="250">
        <v>0</v>
      </c>
      <c r="M25" s="250">
        <v>0</v>
      </c>
      <c r="N25" s="250">
        <v>0</v>
      </c>
      <c r="O25" s="304">
        <v>0</v>
      </c>
      <c r="P25" s="305"/>
      <c r="Q25" s="124"/>
      <c r="R25" s="18">
        <f t="shared" si="0"/>
        <v>3.5</v>
      </c>
    </row>
    <row r="26" spans="1:18" s="123" customFormat="1" ht="42.5" thickBot="1" x14ac:dyDescent="0.4">
      <c r="A26" s="332">
        <v>7100</v>
      </c>
      <c r="B26" s="399">
        <v>75041511</v>
      </c>
      <c r="C26" s="317" t="s">
        <v>41</v>
      </c>
      <c r="D26" s="340">
        <v>0</v>
      </c>
      <c r="E26" s="338">
        <v>52.5</v>
      </c>
      <c r="F26" s="338">
        <v>0</v>
      </c>
      <c r="G26" s="338">
        <v>0</v>
      </c>
      <c r="H26" s="339">
        <v>52.5</v>
      </c>
      <c r="I26" s="350">
        <v>0</v>
      </c>
      <c r="J26" s="124"/>
      <c r="K26" s="374">
        <v>0</v>
      </c>
      <c r="L26" s="388">
        <f>85.8-3.3</f>
        <v>82.5</v>
      </c>
      <c r="M26" s="375">
        <v>0</v>
      </c>
      <c r="N26" s="375">
        <v>0</v>
      </c>
      <c r="O26" s="388">
        <f>85.8-3.3</f>
        <v>82.5</v>
      </c>
      <c r="P26" s="366">
        <v>0</v>
      </c>
      <c r="Q26" s="124"/>
      <c r="R26" s="18">
        <f t="shared" si="0"/>
        <v>135</v>
      </c>
    </row>
    <row r="27" spans="1:18" s="123" customFormat="1" ht="28" x14ac:dyDescent="0.35">
      <c r="A27" s="333">
        <v>7084</v>
      </c>
      <c r="B27" s="399">
        <v>62690957</v>
      </c>
      <c r="C27" s="106" t="s">
        <v>42</v>
      </c>
      <c r="D27" s="340">
        <v>0</v>
      </c>
      <c r="E27" s="338">
        <v>15</v>
      </c>
      <c r="F27" s="338">
        <v>0</v>
      </c>
      <c r="G27" s="338">
        <v>0</v>
      </c>
      <c r="H27" s="339">
        <v>15</v>
      </c>
      <c r="I27" s="350">
        <v>0</v>
      </c>
      <c r="J27" s="124"/>
      <c r="K27" s="377">
        <v>0</v>
      </c>
      <c r="L27" s="389">
        <f>30-6</f>
        <v>24</v>
      </c>
      <c r="M27" s="378">
        <v>0</v>
      </c>
      <c r="N27" s="378">
        <v>0</v>
      </c>
      <c r="O27" s="389">
        <f>30-6</f>
        <v>24</v>
      </c>
      <c r="P27" s="367">
        <v>0</v>
      </c>
      <c r="Q27" s="124"/>
      <c r="R27" s="18">
        <f t="shared" si="0"/>
        <v>39</v>
      </c>
    </row>
    <row r="28" spans="1:18" s="123" customFormat="1" ht="28" x14ac:dyDescent="0.35">
      <c r="A28" s="276">
        <v>7085</v>
      </c>
      <c r="B28" s="399">
        <v>62690965</v>
      </c>
      <c r="C28" s="102" t="s">
        <v>24</v>
      </c>
      <c r="D28" s="340">
        <v>0</v>
      </c>
      <c r="E28" s="400">
        <f>60-22.7</f>
        <v>37.299999999999997</v>
      </c>
      <c r="F28" s="338">
        <v>0</v>
      </c>
      <c r="G28" s="338">
        <v>0</v>
      </c>
      <c r="H28" s="400">
        <f>60-22.7</f>
        <v>37.299999999999997</v>
      </c>
      <c r="I28" s="350">
        <v>0</v>
      </c>
      <c r="J28" s="124"/>
      <c r="K28" s="372">
        <v>0</v>
      </c>
      <c r="L28" s="387">
        <f>86.25-18.25</f>
        <v>68</v>
      </c>
      <c r="M28" s="170">
        <v>0</v>
      </c>
      <c r="N28" s="170">
        <v>0</v>
      </c>
      <c r="O28" s="387">
        <f>86.25-18.25</f>
        <v>68</v>
      </c>
      <c r="P28" s="365">
        <v>0</v>
      </c>
      <c r="Q28" s="124"/>
      <c r="R28" s="18">
        <f t="shared" si="0"/>
        <v>105.3</v>
      </c>
    </row>
    <row r="29" spans="1:18" s="123" customFormat="1" x14ac:dyDescent="0.35">
      <c r="A29" s="276">
        <v>7088</v>
      </c>
      <c r="B29" s="399">
        <v>75015692</v>
      </c>
      <c r="C29" s="102" t="s">
        <v>43</v>
      </c>
      <c r="D29" s="340">
        <v>0</v>
      </c>
      <c r="E29" s="338">
        <v>8</v>
      </c>
      <c r="F29" s="338">
        <v>0</v>
      </c>
      <c r="G29" s="338">
        <v>0</v>
      </c>
      <c r="H29" s="339">
        <v>8</v>
      </c>
      <c r="I29" s="350">
        <v>0</v>
      </c>
      <c r="J29" s="124"/>
      <c r="K29" s="372">
        <v>0</v>
      </c>
      <c r="L29" s="387">
        <f>30-14</f>
        <v>16</v>
      </c>
      <c r="M29" s="170">
        <v>0</v>
      </c>
      <c r="N29" s="170">
        <v>0</v>
      </c>
      <c r="O29" s="387">
        <f>30-14</f>
        <v>16</v>
      </c>
      <c r="P29" s="365">
        <v>0</v>
      </c>
      <c r="Q29" s="124"/>
      <c r="R29" s="18">
        <f t="shared" si="0"/>
        <v>24</v>
      </c>
    </row>
    <row r="30" spans="1:18" s="123" customFormat="1" ht="28.5" thickBot="1" x14ac:dyDescent="0.4">
      <c r="A30" s="331">
        <v>7096</v>
      </c>
      <c r="B30" s="399">
        <v>70998124</v>
      </c>
      <c r="C30" s="107" t="s">
        <v>161</v>
      </c>
      <c r="D30" s="340">
        <v>0</v>
      </c>
      <c r="E30" s="338">
        <v>17.5</v>
      </c>
      <c r="F30" s="338">
        <v>0</v>
      </c>
      <c r="G30" s="338">
        <v>0</v>
      </c>
      <c r="H30" s="339">
        <v>17.5</v>
      </c>
      <c r="I30" s="350">
        <v>0</v>
      </c>
      <c r="J30" s="124"/>
      <c r="K30" s="374">
        <v>0</v>
      </c>
      <c r="L30" s="375">
        <v>0</v>
      </c>
      <c r="M30" s="375">
        <v>0</v>
      </c>
      <c r="N30" s="375">
        <v>0</v>
      </c>
      <c r="O30" s="376">
        <v>0</v>
      </c>
      <c r="P30" s="366">
        <v>0</v>
      </c>
      <c r="Q30" s="124"/>
      <c r="R30" s="18">
        <f t="shared" si="0"/>
        <v>17.5</v>
      </c>
    </row>
    <row r="31" spans="1:18" s="123" customFormat="1" ht="28" x14ac:dyDescent="0.35">
      <c r="A31" s="334">
        <v>7201</v>
      </c>
      <c r="B31" s="399">
        <v>70971137</v>
      </c>
      <c r="C31" s="318" t="s">
        <v>19</v>
      </c>
      <c r="D31" s="340">
        <v>0</v>
      </c>
      <c r="E31" s="338">
        <v>28</v>
      </c>
      <c r="F31" s="338">
        <v>0</v>
      </c>
      <c r="G31" s="338">
        <v>0</v>
      </c>
      <c r="H31" s="339">
        <v>28</v>
      </c>
      <c r="I31" s="350">
        <v>0</v>
      </c>
      <c r="J31" s="124"/>
      <c r="K31" s="377">
        <v>0</v>
      </c>
      <c r="L31" s="378">
        <v>50.4</v>
      </c>
      <c r="M31" s="378">
        <v>0</v>
      </c>
      <c r="N31" s="378">
        <v>0</v>
      </c>
      <c r="O31" s="379">
        <v>50.4</v>
      </c>
      <c r="P31" s="367">
        <v>0</v>
      </c>
      <c r="Q31" s="124"/>
      <c r="R31" s="18">
        <f t="shared" si="0"/>
        <v>78.400000000000006</v>
      </c>
    </row>
    <row r="32" spans="1:18" s="123" customFormat="1" ht="28.5" thickBot="1" x14ac:dyDescent="0.4">
      <c r="A32" s="332">
        <v>7211</v>
      </c>
      <c r="B32" s="399">
        <v>75015111</v>
      </c>
      <c r="C32" s="317" t="s">
        <v>44</v>
      </c>
      <c r="D32" s="340">
        <v>0</v>
      </c>
      <c r="E32" s="338">
        <v>7.5</v>
      </c>
      <c r="F32" s="338">
        <v>0</v>
      </c>
      <c r="G32" s="338">
        <v>0</v>
      </c>
      <c r="H32" s="339">
        <v>7.5</v>
      </c>
      <c r="I32" s="350">
        <v>0</v>
      </c>
      <c r="J32" s="124"/>
      <c r="K32" s="380">
        <v>0</v>
      </c>
      <c r="L32" s="381">
        <v>0</v>
      </c>
      <c r="M32" s="381">
        <v>0</v>
      </c>
      <c r="N32" s="381">
        <v>0</v>
      </c>
      <c r="O32" s="382">
        <v>0</v>
      </c>
      <c r="P32" s="368">
        <v>0</v>
      </c>
      <c r="Q32" s="124"/>
      <c r="R32" s="18">
        <f t="shared" si="0"/>
        <v>7.5</v>
      </c>
    </row>
    <row r="33" spans="1:18" s="123" customFormat="1" x14ac:dyDescent="0.35">
      <c r="A33" s="276">
        <v>7226</v>
      </c>
      <c r="B33" s="399">
        <v>71011544</v>
      </c>
      <c r="C33" s="314" t="s">
        <v>162</v>
      </c>
      <c r="D33" s="340">
        <v>7.2</v>
      </c>
      <c r="E33" s="338">
        <v>0</v>
      </c>
      <c r="F33" s="338">
        <v>2.4340000000000002</v>
      </c>
      <c r="G33" s="338">
        <v>0.14399999999999999</v>
      </c>
      <c r="H33" s="339">
        <v>9.7780000000000005</v>
      </c>
      <c r="I33" s="350">
        <v>1.0800000000000001E-2</v>
      </c>
      <c r="J33" s="124"/>
      <c r="K33" s="303">
        <v>0</v>
      </c>
      <c r="L33" s="250">
        <v>0</v>
      </c>
      <c r="M33" s="250">
        <v>0</v>
      </c>
      <c r="N33" s="250">
        <v>0</v>
      </c>
      <c r="O33" s="304">
        <v>0</v>
      </c>
      <c r="P33" s="305"/>
      <c r="Q33" s="124"/>
      <c r="R33" s="18">
        <f t="shared" si="0"/>
        <v>9.7780000000000005</v>
      </c>
    </row>
    <row r="34" spans="1:18" s="123" customFormat="1" x14ac:dyDescent="0.35">
      <c r="A34" s="333">
        <v>7230</v>
      </c>
      <c r="B34" s="399">
        <v>75019167</v>
      </c>
      <c r="C34" s="314" t="s">
        <v>45</v>
      </c>
      <c r="D34" s="340">
        <v>0</v>
      </c>
      <c r="E34" s="338">
        <v>3</v>
      </c>
      <c r="F34" s="338">
        <v>1.014</v>
      </c>
      <c r="G34" s="338">
        <v>0</v>
      </c>
      <c r="H34" s="339">
        <v>4.0140000000000002</v>
      </c>
      <c r="I34" s="350">
        <v>0</v>
      </c>
      <c r="J34" s="124"/>
      <c r="K34" s="372">
        <v>0</v>
      </c>
      <c r="L34" s="387">
        <f>7-1.25</f>
        <v>5.75</v>
      </c>
      <c r="M34" s="170">
        <v>0</v>
      </c>
      <c r="N34" s="170">
        <v>0</v>
      </c>
      <c r="O34" s="387">
        <f>7-1.25</f>
        <v>5.75</v>
      </c>
      <c r="P34" s="365">
        <v>0</v>
      </c>
      <c r="Q34" s="124"/>
      <c r="R34" s="18">
        <f t="shared" si="0"/>
        <v>9.7639999999999993</v>
      </c>
    </row>
    <row r="35" spans="1:18" s="123" customFormat="1" ht="28" x14ac:dyDescent="0.35">
      <c r="A35" s="333">
        <v>7248</v>
      </c>
      <c r="B35" s="404">
        <v>70886822</v>
      </c>
      <c r="C35" s="106" t="s">
        <v>21</v>
      </c>
      <c r="D35" s="402">
        <f>387.6-17.821</f>
        <v>369.779</v>
      </c>
      <c r="E35" s="338">
        <v>14</v>
      </c>
      <c r="F35" s="400">
        <f>135.741-6.023</f>
        <v>129.71800000000002</v>
      </c>
      <c r="G35" s="400">
        <f>7.752-0.356</f>
        <v>7.3959999999999999</v>
      </c>
      <c r="H35" s="401">
        <f>545.093-24.2</f>
        <v>520.89299999999992</v>
      </c>
      <c r="I35" s="350">
        <v>1.0303</v>
      </c>
      <c r="J35" s="124"/>
      <c r="K35" s="372">
        <v>284.83499999999998</v>
      </c>
      <c r="L35" s="170">
        <v>0</v>
      </c>
      <c r="M35" s="170">
        <v>96.274000000000001</v>
      </c>
      <c r="N35" s="170">
        <v>5.6970000000000001</v>
      </c>
      <c r="O35" s="373">
        <v>386.80599999999998</v>
      </c>
      <c r="P35" s="365">
        <v>0.89389999999999992</v>
      </c>
      <c r="Q35" s="124"/>
      <c r="R35" s="18">
        <f t="shared" si="0"/>
        <v>907.69899999999984</v>
      </c>
    </row>
    <row r="36" spans="1:18" s="123" customFormat="1" ht="28" x14ac:dyDescent="0.35">
      <c r="A36" s="276">
        <v>7253</v>
      </c>
      <c r="B36" s="399">
        <v>70879150</v>
      </c>
      <c r="C36" s="102" t="s">
        <v>46</v>
      </c>
      <c r="D36" s="340">
        <v>56</v>
      </c>
      <c r="E36" s="338">
        <v>0</v>
      </c>
      <c r="F36" s="338">
        <v>18.928000000000001</v>
      </c>
      <c r="G36" s="338">
        <v>1.1200000000000001</v>
      </c>
      <c r="H36" s="339">
        <v>76.048000000000002</v>
      </c>
      <c r="I36" s="350">
        <v>0.18179999999999999</v>
      </c>
      <c r="J36" s="124"/>
      <c r="K36" s="372">
        <v>84</v>
      </c>
      <c r="L36" s="170">
        <v>0</v>
      </c>
      <c r="M36" s="170">
        <v>28.391999999999999</v>
      </c>
      <c r="N36" s="170">
        <v>1.68</v>
      </c>
      <c r="O36" s="373">
        <v>114.072</v>
      </c>
      <c r="P36" s="365">
        <v>0.2273</v>
      </c>
      <c r="Q36" s="124"/>
      <c r="R36" s="18">
        <f t="shared" si="0"/>
        <v>190.12</v>
      </c>
    </row>
    <row r="37" spans="1:18" s="123" customFormat="1" ht="28" x14ac:dyDescent="0.35">
      <c r="A37" s="276">
        <v>7254</v>
      </c>
      <c r="B37" s="399">
        <v>70982635</v>
      </c>
      <c r="C37" s="102" t="s">
        <v>47</v>
      </c>
      <c r="D37" s="340">
        <v>0</v>
      </c>
      <c r="E37" s="345">
        <v>17.25</v>
      </c>
      <c r="F37" s="338">
        <v>5.8310000000000004</v>
      </c>
      <c r="G37" s="338">
        <v>0</v>
      </c>
      <c r="H37" s="339">
        <v>23.081</v>
      </c>
      <c r="I37" s="350">
        <v>0</v>
      </c>
      <c r="J37" s="124"/>
      <c r="K37" s="372">
        <v>0</v>
      </c>
      <c r="L37" s="170">
        <v>0</v>
      </c>
      <c r="M37" s="170">
        <v>0</v>
      </c>
      <c r="N37" s="170">
        <v>0</v>
      </c>
      <c r="O37" s="373">
        <v>0</v>
      </c>
      <c r="P37" s="365">
        <v>0</v>
      </c>
      <c r="Q37" s="124"/>
      <c r="R37" s="18">
        <f t="shared" si="0"/>
        <v>23.081</v>
      </c>
    </row>
    <row r="38" spans="1:18" s="123" customFormat="1" ht="28.5" thickBot="1" x14ac:dyDescent="0.4">
      <c r="A38" s="335">
        <v>7257</v>
      </c>
      <c r="B38" s="404">
        <v>70985634</v>
      </c>
      <c r="C38" s="317" t="s">
        <v>48</v>
      </c>
      <c r="D38" s="340">
        <v>0</v>
      </c>
      <c r="E38" s="400">
        <f>12-4.056</f>
        <v>7.944</v>
      </c>
      <c r="F38" s="400">
        <f>4.056-2.944</f>
        <v>1.1120000000000001</v>
      </c>
      <c r="G38" s="338">
        <v>0</v>
      </c>
      <c r="H38" s="401">
        <f>16.056-7</f>
        <v>9.0560000000000009</v>
      </c>
      <c r="I38" s="350">
        <v>0</v>
      </c>
      <c r="J38" s="124"/>
      <c r="K38" s="374">
        <v>0</v>
      </c>
      <c r="L38" s="388">
        <f>18.25-2.5</f>
        <v>15.75</v>
      </c>
      <c r="M38" s="375">
        <v>0</v>
      </c>
      <c r="N38" s="375">
        <v>0</v>
      </c>
      <c r="O38" s="388">
        <f>18.25-2.5</f>
        <v>15.75</v>
      </c>
      <c r="P38" s="366">
        <v>0</v>
      </c>
      <c r="Q38" s="124"/>
      <c r="R38" s="18">
        <f t="shared" si="0"/>
        <v>24.806000000000001</v>
      </c>
    </row>
    <row r="39" spans="1:18" s="123" customFormat="1" x14ac:dyDescent="0.35">
      <c r="A39" s="333">
        <v>7272</v>
      </c>
      <c r="B39" s="399">
        <v>49305620</v>
      </c>
      <c r="C39" s="319" t="s">
        <v>26</v>
      </c>
      <c r="D39" s="340">
        <v>0</v>
      </c>
      <c r="E39" s="338">
        <v>21</v>
      </c>
      <c r="F39" s="338">
        <v>0</v>
      </c>
      <c r="G39" s="338">
        <v>0</v>
      </c>
      <c r="H39" s="339">
        <v>21</v>
      </c>
      <c r="I39" s="350">
        <v>0</v>
      </c>
      <c r="J39" s="124"/>
      <c r="K39" s="377">
        <v>0</v>
      </c>
      <c r="L39" s="389">
        <f>45-12.6</f>
        <v>32.4</v>
      </c>
      <c r="M39" s="378">
        <v>0</v>
      </c>
      <c r="N39" s="378">
        <v>0</v>
      </c>
      <c r="O39" s="389">
        <f>45-12.6</f>
        <v>32.4</v>
      </c>
      <c r="P39" s="367">
        <v>0</v>
      </c>
      <c r="Q39" s="124"/>
      <c r="R39" s="18">
        <f t="shared" si="0"/>
        <v>53.4</v>
      </c>
    </row>
    <row r="40" spans="1:18" s="123" customFormat="1" ht="20.25" customHeight="1" thickBot="1" x14ac:dyDescent="0.4">
      <c r="A40" s="333">
        <v>7274</v>
      </c>
      <c r="B40" s="399">
        <v>70890072</v>
      </c>
      <c r="C40" s="320" t="s">
        <v>50</v>
      </c>
      <c r="D40" s="340">
        <v>0</v>
      </c>
      <c r="E40" s="338">
        <v>14</v>
      </c>
      <c r="F40" s="338">
        <v>0</v>
      </c>
      <c r="G40" s="338">
        <v>0</v>
      </c>
      <c r="H40" s="339">
        <v>14</v>
      </c>
      <c r="I40" s="350">
        <v>0</v>
      </c>
      <c r="J40" s="124"/>
      <c r="K40" s="380">
        <v>0</v>
      </c>
      <c r="L40" s="391">
        <f>36-17.4</f>
        <v>18.600000000000001</v>
      </c>
      <c r="M40" s="381">
        <v>0</v>
      </c>
      <c r="N40" s="381">
        <v>0</v>
      </c>
      <c r="O40" s="391">
        <f>36-17.4</f>
        <v>18.600000000000001</v>
      </c>
      <c r="P40" s="368">
        <v>0</v>
      </c>
      <c r="Q40" s="124"/>
      <c r="R40" s="18">
        <f t="shared" si="0"/>
        <v>32.6</v>
      </c>
    </row>
    <row r="41" spans="1:18" ht="15" thickBot="1" x14ac:dyDescent="0.4">
      <c r="A41" s="336">
        <v>7404</v>
      </c>
      <c r="B41" s="399">
        <v>48623008</v>
      </c>
      <c r="C41" s="321" t="s">
        <v>163</v>
      </c>
      <c r="D41" s="353">
        <v>0</v>
      </c>
      <c r="E41" s="354">
        <v>16.25</v>
      </c>
      <c r="F41" s="354">
        <v>0</v>
      </c>
      <c r="G41" s="354">
        <v>0</v>
      </c>
      <c r="H41" s="354">
        <v>16.25</v>
      </c>
      <c r="I41" s="355">
        <v>0</v>
      </c>
      <c r="J41" s="21"/>
      <c r="K41" s="383">
        <v>0</v>
      </c>
      <c r="L41" s="384">
        <v>32.700000000000003</v>
      </c>
      <c r="M41" s="384">
        <v>0</v>
      </c>
      <c r="N41" s="384">
        <v>0</v>
      </c>
      <c r="O41" s="385">
        <v>32.700000000000003</v>
      </c>
      <c r="P41" s="369">
        <v>0</v>
      </c>
      <c r="R41" s="18">
        <f t="shared" ref="R41:R88" si="1">H41+O41</f>
        <v>48.95</v>
      </c>
    </row>
    <row r="42" spans="1:18" ht="28.5" thickBot="1" x14ac:dyDescent="0.4">
      <c r="A42" s="276">
        <v>7405</v>
      </c>
      <c r="B42" s="399">
        <v>857742</v>
      </c>
      <c r="C42" s="86" t="s">
        <v>96</v>
      </c>
      <c r="D42" s="286">
        <v>59.615999999999993</v>
      </c>
      <c r="E42" s="287">
        <v>0</v>
      </c>
      <c r="F42" s="287">
        <v>20.149999999999999</v>
      </c>
      <c r="G42" s="287">
        <v>1.1919999999999999</v>
      </c>
      <c r="H42" s="287">
        <v>80.957999999999998</v>
      </c>
      <c r="I42" s="356">
        <v>0.12540000000000001</v>
      </c>
      <c r="K42" s="374">
        <v>124.44</v>
      </c>
      <c r="L42" s="375">
        <v>0</v>
      </c>
      <c r="M42" s="388">
        <f>42.06-5.44</f>
        <v>36.620000000000005</v>
      </c>
      <c r="N42" s="375">
        <v>2.488</v>
      </c>
      <c r="O42" s="376">
        <f>168.988-5.44</f>
        <v>163.548</v>
      </c>
      <c r="P42" s="366">
        <v>0.2424</v>
      </c>
      <c r="R42" s="18">
        <f t="shared" si="1"/>
        <v>244.506</v>
      </c>
    </row>
    <row r="43" spans="1:18" ht="28" x14ac:dyDescent="0.35">
      <c r="A43" s="334">
        <v>7424</v>
      </c>
      <c r="B43" s="399">
        <v>70926662</v>
      </c>
      <c r="C43" s="322" t="s">
        <v>51</v>
      </c>
      <c r="D43" s="286">
        <v>0</v>
      </c>
      <c r="E43" s="403">
        <f>72-43.75</f>
        <v>28.25</v>
      </c>
      <c r="F43" s="287">
        <v>0</v>
      </c>
      <c r="G43" s="287">
        <v>0</v>
      </c>
      <c r="H43" s="403">
        <f>72-43.75</f>
        <v>28.25</v>
      </c>
      <c r="I43" s="356">
        <v>0</v>
      </c>
      <c r="K43" s="377">
        <v>0</v>
      </c>
      <c r="L43" s="389">
        <f>108-65.25</f>
        <v>42.75</v>
      </c>
      <c r="M43" s="378">
        <v>0</v>
      </c>
      <c r="N43" s="378">
        <v>0</v>
      </c>
      <c r="O43" s="389">
        <f>108-65.25</f>
        <v>42.75</v>
      </c>
      <c r="P43" s="367">
        <v>0</v>
      </c>
      <c r="R43" s="18">
        <f t="shared" si="1"/>
        <v>71</v>
      </c>
    </row>
    <row r="44" spans="1:18" ht="28.5" thickBot="1" x14ac:dyDescent="0.4">
      <c r="A44" s="276">
        <v>7426</v>
      </c>
      <c r="B44" s="404">
        <v>70932085</v>
      </c>
      <c r="C44" s="86" t="s">
        <v>20</v>
      </c>
      <c r="D44" s="405">
        <f>73.096-8.294</f>
        <v>64.802000000000007</v>
      </c>
      <c r="E44" s="287">
        <v>0</v>
      </c>
      <c r="F44" s="403">
        <f>24.706-2.804</f>
        <v>21.902000000000001</v>
      </c>
      <c r="G44" s="403">
        <f>1.462-0.166</f>
        <v>1.296</v>
      </c>
      <c r="H44" s="403">
        <f>99.264-11.264</f>
        <v>88</v>
      </c>
      <c r="I44" s="396">
        <f>0.1818-0.0206</f>
        <v>0.16119999999999998</v>
      </c>
      <c r="K44" s="392">
        <f>156.223-19.999</f>
        <v>136.22400000000002</v>
      </c>
      <c r="L44" s="170">
        <v>0</v>
      </c>
      <c r="M44" s="387">
        <f>52.802-6.761</f>
        <v>46.040999999999997</v>
      </c>
      <c r="N44" s="387">
        <f>3.126-0.402</f>
        <v>2.7239999999999998</v>
      </c>
      <c r="O44" s="393">
        <f>212.151-27.162</f>
        <v>184.989</v>
      </c>
      <c r="P44" s="396">
        <f>0.3636-0.091</f>
        <v>0.27259999999999995</v>
      </c>
      <c r="R44" s="18">
        <f t="shared" si="1"/>
        <v>272.98900000000003</v>
      </c>
    </row>
    <row r="45" spans="1:18" ht="28" x14ac:dyDescent="0.35">
      <c r="A45" s="334">
        <v>7443</v>
      </c>
      <c r="B45" s="399">
        <v>75016273</v>
      </c>
      <c r="C45" s="323" t="s">
        <v>100</v>
      </c>
      <c r="D45" s="405">
        <f>26.55-17.1</f>
        <v>9.4499999999999993</v>
      </c>
      <c r="E45" s="287">
        <v>82.5</v>
      </c>
      <c r="F45" s="403">
        <f>8.974-5.78</f>
        <v>3.194</v>
      </c>
      <c r="G45" s="403">
        <f>0.531-0.342</f>
        <v>0.189</v>
      </c>
      <c r="H45" s="403">
        <f>118.555-23.222</f>
        <v>95.332999999999998</v>
      </c>
      <c r="I45" s="396">
        <f>0.0568-0.0366</f>
        <v>2.0200000000000003E-2</v>
      </c>
      <c r="K45" s="394">
        <f>27.6-4.6</f>
        <v>23</v>
      </c>
      <c r="L45" s="390">
        <f>114-34.2</f>
        <v>79.8</v>
      </c>
      <c r="M45" s="390">
        <f>47.861-40.096</f>
        <v>7.7650000000000006</v>
      </c>
      <c r="N45" s="390">
        <f>0.552-0.092</f>
        <v>0.46000000000000008</v>
      </c>
      <c r="O45" s="395">
        <f>190.013-78.988</f>
        <v>111.02500000000001</v>
      </c>
      <c r="P45" s="397">
        <f>0.0568-0.0095</f>
        <v>4.7300000000000002E-2</v>
      </c>
      <c r="R45" s="18">
        <f t="shared" si="1"/>
        <v>206.358</v>
      </c>
    </row>
    <row r="46" spans="1:18" x14ac:dyDescent="0.35">
      <c r="A46" s="276">
        <v>7447</v>
      </c>
      <c r="B46" s="399">
        <v>70987262</v>
      </c>
      <c r="C46" s="324" t="s">
        <v>53</v>
      </c>
      <c r="D46" s="286">
        <v>20.419</v>
      </c>
      <c r="E46" s="287">
        <v>45</v>
      </c>
      <c r="F46" s="287">
        <v>6.9020000000000001</v>
      </c>
      <c r="G46" s="287">
        <v>0.40799999999999997</v>
      </c>
      <c r="H46" s="287">
        <v>72.728999999999999</v>
      </c>
      <c r="I46" s="356">
        <v>4.5400000000000003E-2</v>
      </c>
      <c r="K46" s="392">
        <f>35.76-4.161</f>
        <v>31.598999999999997</v>
      </c>
      <c r="L46" s="387">
        <f>39.75-11</f>
        <v>28.75</v>
      </c>
      <c r="M46" s="387">
        <f>12.087-1.407</f>
        <v>10.68</v>
      </c>
      <c r="N46" s="387">
        <f>0.715-0.083</f>
        <v>0.63200000000000001</v>
      </c>
      <c r="O46" s="393">
        <f>88.312-16.651</f>
        <v>71.661000000000001</v>
      </c>
      <c r="P46" s="396">
        <f>0.0909-0.0228</f>
        <v>6.8099999999999994E-2</v>
      </c>
      <c r="R46" s="18">
        <f t="shared" si="1"/>
        <v>144.38999999999999</v>
      </c>
    </row>
    <row r="47" spans="1:18" ht="28" x14ac:dyDescent="0.35">
      <c r="A47" s="276">
        <v>7454</v>
      </c>
      <c r="B47" s="399">
        <v>70995397</v>
      </c>
      <c r="C47" s="324" t="s">
        <v>54</v>
      </c>
      <c r="D47" s="286">
        <v>120.364</v>
      </c>
      <c r="E47" s="287">
        <v>0</v>
      </c>
      <c r="F47" s="287">
        <v>40.683</v>
      </c>
      <c r="G47" s="287">
        <v>2.407</v>
      </c>
      <c r="H47" s="287">
        <v>163.45400000000001</v>
      </c>
      <c r="I47" s="356">
        <v>0.30299999999999999</v>
      </c>
      <c r="K47" s="372">
        <v>248.72800000000001</v>
      </c>
      <c r="L47" s="170">
        <v>0</v>
      </c>
      <c r="M47" s="170">
        <v>84.07</v>
      </c>
      <c r="N47" s="170">
        <v>4.976</v>
      </c>
      <c r="O47" s="373">
        <v>337.774</v>
      </c>
      <c r="P47" s="365">
        <v>0.60599999999999998</v>
      </c>
      <c r="R47" s="18">
        <f t="shared" si="1"/>
        <v>501.22800000000001</v>
      </c>
    </row>
    <row r="48" spans="1:18" x14ac:dyDescent="0.35">
      <c r="A48" s="276">
        <v>7465</v>
      </c>
      <c r="B48" s="399">
        <v>70996504</v>
      </c>
      <c r="C48" s="324" t="s">
        <v>55</v>
      </c>
      <c r="D48" s="286">
        <v>0</v>
      </c>
      <c r="E48" s="287">
        <v>8.75</v>
      </c>
      <c r="F48" s="287">
        <v>0</v>
      </c>
      <c r="G48" s="287">
        <v>0</v>
      </c>
      <c r="H48" s="287">
        <v>8.75</v>
      </c>
      <c r="I48" s="356">
        <v>0</v>
      </c>
      <c r="K48" s="372">
        <v>0</v>
      </c>
      <c r="L48" s="387">
        <f>13.2-1.2</f>
        <v>12</v>
      </c>
      <c r="M48" s="170">
        <v>0</v>
      </c>
      <c r="N48" s="170">
        <v>0</v>
      </c>
      <c r="O48" s="387">
        <f>13.2-1.2</f>
        <v>12</v>
      </c>
      <c r="P48" s="365">
        <v>0</v>
      </c>
      <c r="R48" s="18">
        <f t="shared" si="1"/>
        <v>20.75</v>
      </c>
    </row>
    <row r="49" spans="1:19" ht="28" x14ac:dyDescent="0.35">
      <c r="A49" s="276">
        <v>7466</v>
      </c>
      <c r="B49" s="399">
        <v>70996474</v>
      </c>
      <c r="C49" s="324" t="s">
        <v>164</v>
      </c>
      <c r="D49" s="286">
        <v>0</v>
      </c>
      <c r="E49" s="403">
        <f>8.75-8.75</f>
        <v>0</v>
      </c>
      <c r="F49" s="287">
        <v>0</v>
      </c>
      <c r="G49" s="287">
        <v>0</v>
      </c>
      <c r="H49" s="403">
        <f>8.75-8.75</f>
        <v>0</v>
      </c>
      <c r="I49" s="356">
        <v>0</v>
      </c>
      <c r="K49" s="372">
        <v>0</v>
      </c>
      <c r="L49" s="170">
        <v>0</v>
      </c>
      <c r="M49" s="170">
        <v>0</v>
      </c>
      <c r="N49" s="170">
        <v>0</v>
      </c>
      <c r="O49" s="373">
        <v>0</v>
      </c>
      <c r="P49" s="365">
        <v>0</v>
      </c>
      <c r="R49" s="18">
        <f t="shared" si="1"/>
        <v>0</v>
      </c>
      <c r="S49" t="s">
        <v>180</v>
      </c>
    </row>
    <row r="50" spans="1:19" ht="28" x14ac:dyDescent="0.35">
      <c r="A50" s="278">
        <v>7467</v>
      </c>
      <c r="B50" s="399">
        <v>857611</v>
      </c>
      <c r="C50" s="324" t="s">
        <v>23</v>
      </c>
      <c r="D50" s="286">
        <v>0</v>
      </c>
      <c r="E50" s="287">
        <v>14</v>
      </c>
      <c r="F50" s="287">
        <v>0</v>
      </c>
      <c r="G50" s="287">
        <v>0</v>
      </c>
      <c r="H50" s="287">
        <v>14</v>
      </c>
      <c r="I50" s="356">
        <v>0</v>
      </c>
      <c r="K50" s="372">
        <v>0</v>
      </c>
      <c r="L50" s="170">
        <v>10.5</v>
      </c>
      <c r="M50" s="170">
        <v>0</v>
      </c>
      <c r="N50" s="170">
        <v>0</v>
      </c>
      <c r="O50" s="373">
        <v>10.5</v>
      </c>
      <c r="P50" s="365">
        <v>0</v>
      </c>
      <c r="R50" s="18">
        <f t="shared" si="1"/>
        <v>24.5</v>
      </c>
    </row>
    <row r="51" spans="1:19" x14ac:dyDescent="0.35">
      <c r="A51" s="331">
        <v>7486</v>
      </c>
      <c r="B51" s="399">
        <v>857891</v>
      </c>
      <c r="C51" s="370" t="s">
        <v>179</v>
      </c>
      <c r="D51" s="286"/>
      <c r="E51" s="287"/>
      <c r="F51" s="287"/>
      <c r="G51" s="287"/>
      <c r="H51" s="287"/>
      <c r="I51" s="356"/>
      <c r="K51" s="372">
        <v>0</v>
      </c>
      <c r="L51" s="387">
        <f>14.4-6</f>
        <v>8.4</v>
      </c>
      <c r="M51" s="170">
        <v>0</v>
      </c>
      <c r="N51" s="170">
        <v>0</v>
      </c>
      <c r="O51" s="387">
        <f>14.4-6</f>
        <v>8.4</v>
      </c>
      <c r="P51" s="365">
        <v>0</v>
      </c>
      <c r="R51" s="18">
        <f t="shared" si="1"/>
        <v>8.4</v>
      </c>
    </row>
    <row r="52" spans="1:19" ht="28.5" thickBot="1" x14ac:dyDescent="0.4">
      <c r="A52" s="332">
        <v>7489</v>
      </c>
      <c r="B52" s="399">
        <v>75016311</v>
      </c>
      <c r="C52" s="325" t="s">
        <v>165</v>
      </c>
      <c r="D52" s="286">
        <v>12</v>
      </c>
      <c r="E52" s="287">
        <v>0</v>
      </c>
      <c r="F52" s="287">
        <v>4.056</v>
      </c>
      <c r="G52" s="287">
        <v>0.24</v>
      </c>
      <c r="H52" s="287">
        <v>16.295999999999999</v>
      </c>
      <c r="I52" s="356">
        <v>4.5400000000000003E-2</v>
      </c>
      <c r="K52" s="374">
        <v>0</v>
      </c>
      <c r="L52" s="375">
        <v>0</v>
      </c>
      <c r="M52" s="375">
        <v>0</v>
      </c>
      <c r="N52" s="375">
        <v>0</v>
      </c>
      <c r="O52" s="376">
        <v>0</v>
      </c>
      <c r="P52" s="366">
        <v>0</v>
      </c>
      <c r="R52" s="18">
        <f t="shared" si="1"/>
        <v>16.295999999999999</v>
      </c>
    </row>
    <row r="53" spans="1:19" ht="28.5" thickBot="1" x14ac:dyDescent="0.4">
      <c r="A53" s="334">
        <v>7498</v>
      </c>
      <c r="B53" s="399">
        <v>71010076</v>
      </c>
      <c r="C53" s="314" t="s">
        <v>118</v>
      </c>
      <c r="D53" s="286">
        <v>8.24</v>
      </c>
      <c r="E53" s="287">
        <v>0</v>
      </c>
      <c r="F53" s="287">
        <v>2.7850000000000001</v>
      </c>
      <c r="G53" s="287">
        <v>0.16500000000000001</v>
      </c>
      <c r="H53" s="287">
        <v>11.19</v>
      </c>
      <c r="I53" s="356">
        <v>2.1499999999999998E-2</v>
      </c>
      <c r="K53" s="353">
        <v>0</v>
      </c>
      <c r="L53" s="354">
        <v>0</v>
      </c>
      <c r="M53" s="354">
        <v>0</v>
      </c>
      <c r="N53" s="354">
        <v>0</v>
      </c>
      <c r="O53" s="354">
        <v>0</v>
      </c>
      <c r="P53" s="364"/>
      <c r="R53" s="18">
        <f t="shared" si="1"/>
        <v>11.19</v>
      </c>
    </row>
    <row r="54" spans="1:19" ht="29" x14ac:dyDescent="0.35">
      <c r="A54" s="276">
        <v>7500</v>
      </c>
      <c r="B54" s="399">
        <v>857688</v>
      </c>
      <c r="C54" s="316" t="s">
        <v>25</v>
      </c>
      <c r="D54" s="286">
        <v>171.09700000000001</v>
      </c>
      <c r="E54" s="287">
        <v>0</v>
      </c>
      <c r="F54" s="287">
        <v>57.831000000000003</v>
      </c>
      <c r="G54" s="287">
        <v>3.4220000000000002</v>
      </c>
      <c r="H54" s="287">
        <v>232.35</v>
      </c>
      <c r="I54" s="356">
        <v>0.40910000000000002</v>
      </c>
      <c r="K54" s="377">
        <v>244.988</v>
      </c>
      <c r="L54" s="378">
        <v>0</v>
      </c>
      <c r="M54" s="378">
        <v>82.805999999999997</v>
      </c>
      <c r="N54" s="378">
        <v>4.899</v>
      </c>
      <c r="O54" s="379">
        <v>332.69299999999998</v>
      </c>
      <c r="P54" s="367">
        <v>0.57569999999999999</v>
      </c>
      <c r="R54" s="18">
        <f t="shared" si="1"/>
        <v>565.04300000000001</v>
      </c>
    </row>
    <row r="55" spans="1:19" ht="29.5" thickBot="1" x14ac:dyDescent="0.4">
      <c r="A55" s="332">
        <v>7501</v>
      </c>
      <c r="B55" s="399">
        <v>857858</v>
      </c>
      <c r="C55" s="326" t="s">
        <v>166</v>
      </c>
      <c r="D55" s="286">
        <v>71.569999999999993</v>
      </c>
      <c r="E55" s="287">
        <v>0</v>
      </c>
      <c r="F55" s="287">
        <v>24.190999999999999</v>
      </c>
      <c r="G55" s="287">
        <v>1.431</v>
      </c>
      <c r="H55" s="287">
        <v>97.191999999999993</v>
      </c>
      <c r="I55" s="356">
        <v>0.1515</v>
      </c>
      <c r="K55" s="374">
        <v>120</v>
      </c>
      <c r="L55" s="375">
        <v>0</v>
      </c>
      <c r="M55" s="388">
        <f>40.56-4.407</f>
        <v>36.153000000000006</v>
      </c>
      <c r="N55" s="375">
        <v>2.4</v>
      </c>
      <c r="O55" s="398">
        <f>162.96-4.407</f>
        <v>158.553</v>
      </c>
      <c r="P55" s="366">
        <v>0.22720000000000001</v>
      </c>
      <c r="R55" s="18">
        <f t="shared" si="1"/>
        <v>255.745</v>
      </c>
    </row>
    <row r="56" spans="1:19" ht="28" x14ac:dyDescent="0.35">
      <c r="A56" s="334">
        <v>7615</v>
      </c>
      <c r="B56" s="399">
        <v>75015919</v>
      </c>
      <c r="C56" s="323" t="s">
        <v>105</v>
      </c>
      <c r="D56" s="286">
        <v>0</v>
      </c>
      <c r="E56" s="287">
        <v>20</v>
      </c>
      <c r="F56" s="287">
        <v>0</v>
      </c>
      <c r="G56" s="287">
        <v>0</v>
      </c>
      <c r="H56" s="287">
        <v>20</v>
      </c>
      <c r="I56" s="356">
        <v>0</v>
      </c>
      <c r="K56" s="377">
        <v>0</v>
      </c>
      <c r="L56" s="378">
        <v>0</v>
      </c>
      <c r="M56" s="378">
        <v>0</v>
      </c>
      <c r="N56" s="378">
        <v>0</v>
      </c>
      <c r="O56" s="379">
        <v>0</v>
      </c>
      <c r="P56" s="367">
        <v>0</v>
      </c>
      <c r="R56" s="18">
        <f t="shared" si="1"/>
        <v>20</v>
      </c>
    </row>
    <row r="57" spans="1:19" ht="43.5" x14ac:dyDescent="0.35">
      <c r="A57" s="276">
        <v>7617</v>
      </c>
      <c r="B57" s="399">
        <v>75018616</v>
      </c>
      <c r="C57" s="316" t="s">
        <v>17</v>
      </c>
      <c r="D57" s="286">
        <v>0</v>
      </c>
      <c r="E57" s="287">
        <v>41.25</v>
      </c>
      <c r="F57" s="287">
        <v>0</v>
      </c>
      <c r="G57" s="287">
        <v>0</v>
      </c>
      <c r="H57" s="287">
        <v>41.25</v>
      </c>
      <c r="I57" s="356">
        <v>0</v>
      </c>
      <c r="K57" s="372">
        <v>0</v>
      </c>
      <c r="L57" s="387">
        <f>70.2-12.45</f>
        <v>57.75</v>
      </c>
      <c r="M57" s="170">
        <v>0</v>
      </c>
      <c r="N57" s="170">
        <v>0</v>
      </c>
      <c r="O57" s="387">
        <f>70.2-12.45</f>
        <v>57.75</v>
      </c>
      <c r="P57" s="365">
        <v>0</v>
      </c>
      <c r="R57" s="18">
        <f t="shared" si="1"/>
        <v>99</v>
      </c>
    </row>
    <row r="58" spans="1:19" ht="15" thickBot="1" x14ac:dyDescent="0.4">
      <c r="A58" s="332">
        <v>7620</v>
      </c>
      <c r="B58" s="399">
        <v>75015013</v>
      </c>
      <c r="C58" s="327" t="s">
        <v>57</v>
      </c>
      <c r="D58" s="286">
        <v>0</v>
      </c>
      <c r="E58" s="403">
        <f>40-18.75</f>
        <v>21.25</v>
      </c>
      <c r="F58" s="287">
        <v>0</v>
      </c>
      <c r="G58" s="287">
        <v>0</v>
      </c>
      <c r="H58" s="403">
        <f>40-18.75</f>
        <v>21.25</v>
      </c>
      <c r="I58" s="356">
        <v>0</v>
      </c>
      <c r="K58" s="380">
        <v>0</v>
      </c>
      <c r="L58" s="391">
        <f>41.5-6.3</f>
        <v>35.200000000000003</v>
      </c>
      <c r="M58" s="381">
        <v>0</v>
      </c>
      <c r="N58" s="381">
        <v>0</v>
      </c>
      <c r="O58" s="391">
        <f>41.5-6.3</f>
        <v>35.200000000000003</v>
      </c>
      <c r="P58" s="368">
        <v>0</v>
      </c>
      <c r="R58" s="18">
        <f t="shared" si="1"/>
        <v>56.45</v>
      </c>
    </row>
    <row r="59" spans="1:19" x14ac:dyDescent="0.35">
      <c r="A59" s="333">
        <v>7625</v>
      </c>
      <c r="B59" s="399">
        <v>70188874</v>
      </c>
      <c r="C59" s="319" t="s">
        <v>167</v>
      </c>
      <c r="D59" s="286">
        <v>0</v>
      </c>
      <c r="E59" s="287">
        <v>12</v>
      </c>
      <c r="F59" s="287">
        <v>0</v>
      </c>
      <c r="G59" s="287">
        <v>0</v>
      </c>
      <c r="H59" s="287">
        <v>12</v>
      </c>
      <c r="I59" s="356">
        <v>0</v>
      </c>
      <c r="K59" s="383">
        <v>12.96</v>
      </c>
      <c r="L59" s="384">
        <v>0</v>
      </c>
      <c r="M59" s="384">
        <v>4.38</v>
      </c>
      <c r="N59" s="384">
        <v>0.25900000000000001</v>
      </c>
      <c r="O59" s="385">
        <v>17.599</v>
      </c>
      <c r="P59" s="369">
        <v>6.0600000000000001E-2</v>
      </c>
      <c r="R59" s="18">
        <f t="shared" si="1"/>
        <v>29.599</v>
      </c>
    </row>
    <row r="60" spans="1:19" ht="29" x14ac:dyDescent="0.35">
      <c r="A60" s="276">
        <v>7627</v>
      </c>
      <c r="B60" s="399">
        <v>70157332</v>
      </c>
      <c r="C60" s="316" t="s">
        <v>22</v>
      </c>
      <c r="D60" s="286">
        <v>144</v>
      </c>
      <c r="E60" s="287">
        <v>0</v>
      </c>
      <c r="F60" s="287">
        <v>48.671999999999997</v>
      </c>
      <c r="G60" s="287">
        <v>2.88</v>
      </c>
      <c r="H60" s="287">
        <v>195.55199999999999</v>
      </c>
      <c r="I60" s="356">
        <v>0.3</v>
      </c>
      <c r="K60" s="392">
        <f>316.24-18.793</f>
        <v>297.447</v>
      </c>
      <c r="L60" s="170">
        <v>0</v>
      </c>
      <c r="M60" s="387">
        <f>106.889-6.352</f>
        <v>100.53699999999999</v>
      </c>
      <c r="N60" s="387">
        <f>6.325-0.376</f>
        <v>5.9489999999999998</v>
      </c>
      <c r="O60" s="393">
        <f>429.454-25.521</f>
        <v>403.93299999999999</v>
      </c>
      <c r="P60" s="396">
        <f>0.606-0.0632</f>
        <v>0.54279999999999995</v>
      </c>
      <c r="R60" s="18">
        <f t="shared" si="1"/>
        <v>599.48500000000001</v>
      </c>
    </row>
    <row r="61" spans="1:19" x14ac:dyDescent="0.35">
      <c r="A61" s="276">
        <v>7629</v>
      </c>
      <c r="B61" s="399">
        <v>60884541</v>
      </c>
      <c r="C61" s="324" t="s">
        <v>58</v>
      </c>
      <c r="D61" s="286">
        <v>0</v>
      </c>
      <c r="E61" s="287">
        <v>24</v>
      </c>
      <c r="F61" s="287">
        <v>0</v>
      </c>
      <c r="G61" s="287">
        <v>0</v>
      </c>
      <c r="H61" s="287">
        <v>24</v>
      </c>
      <c r="I61" s="356">
        <v>0</v>
      </c>
      <c r="K61" s="372">
        <v>0</v>
      </c>
      <c r="L61" s="387">
        <f>43.2-13.5</f>
        <v>29.700000000000003</v>
      </c>
      <c r="M61" s="170">
        <v>0</v>
      </c>
      <c r="N61" s="170">
        <v>0</v>
      </c>
      <c r="O61" s="393">
        <f>43.2-13.5</f>
        <v>29.700000000000003</v>
      </c>
      <c r="P61" s="365">
        <v>0</v>
      </c>
      <c r="R61" s="18">
        <f t="shared" si="1"/>
        <v>53.7</v>
      </c>
    </row>
    <row r="62" spans="1:19" ht="28.5" thickBot="1" x14ac:dyDescent="0.4">
      <c r="A62" s="276">
        <v>7630</v>
      </c>
      <c r="B62" s="399">
        <v>75017105</v>
      </c>
      <c r="C62" s="324" t="s">
        <v>168</v>
      </c>
      <c r="D62" s="286">
        <v>0</v>
      </c>
      <c r="E62" s="287">
        <v>12</v>
      </c>
      <c r="F62" s="287">
        <v>0</v>
      </c>
      <c r="G62" s="287">
        <v>0</v>
      </c>
      <c r="H62" s="287">
        <v>12</v>
      </c>
      <c r="I62" s="356">
        <v>0</v>
      </c>
      <c r="K62" s="372">
        <v>0</v>
      </c>
      <c r="L62" s="387">
        <f>21.6-9.72</f>
        <v>11.88</v>
      </c>
      <c r="M62" s="170">
        <v>0</v>
      </c>
      <c r="N62" s="170">
        <v>0</v>
      </c>
      <c r="O62" s="387">
        <f>21.6-9.72</f>
        <v>11.88</v>
      </c>
      <c r="P62" s="365">
        <v>0</v>
      </c>
      <c r="R62" s="18">
        <f t="shared" si="1"/>
        <v>23.880000000000003</v>
      </c>
    </row>
    <row r="63" spans="1:19" ht="28" x14ac:dyDescent="0.35">
      <c r="A63" s="334">
        <v>7652</v>
      </c>
      <c r="B63" s="399">
        <v>75015340</v>
      </c>
      <c r="C63" s="323" t="s">
        <v>59</v>
      </c>
      <c r="D63" s="286">
        <v>126</v>
      </c>
      <c r="E63" s="287">
        <v>0</v>
      </c>
      <c r="F63" s="287">
        <v>42.588000000000001</v>
      </c>
      <c r="G63" s="287">
        <v>2.52</v>
      </c>
      <c r="H63" s="287">
        <v>171.108</v>
      </c>
      <c r="I63" s="356">
        <v>0.3</v>
      </c>
      <c r="K63" s="377">
        <v>0</v>
      </c>
      <c r="L63" s="378">
        <v>30</v>
      </c>
      <c r="M63" s="378">
        <v>0</v>
      </c>
      <c r="N63" s="378">
        <v>0</v>
      </c>
      <c r="O63" s="379">
        <v>30</v>
      </c>
      <c r="P63" s="367">
        <v>0</v>
      </c>
      <c r="R63" s="18">
        <f t="shared" si="1"/>
        <v>201.108</v>
      </c>
    </row>
    <row r="64" spans="1:19" ht="28" x14ac:dyDescent="0.35">
      <c r="A64" s="276">
        <v>7653</v>
      </c>
      <c r="B64" s="399">
        <v>75015498</v>
      </c>
      <c r="C64" s="324" t="s">
        <v>60</v>
      </c>
      <c r="D64" s="286">
        <v>0</v>
      </c>
      <c r="E64" s="287">
        <v>24</v>
      </c>
      <c r="F64" s="287">
        <v>0</v>
      </c>
      <c r="G64" s="287">
        <v>0</v>
      </c>
      <c r="H64" s="287">
        <v>24</v>
      </c>
      <c r="I64" s="356">
        <v>0</v>
      </c>
      <c r="K64" s="372">
        <v>0</v>
      </c>
      <c r="L64" s="170">
        <v>37.799999999999997</v>
      </c>
      <c r="M64" s="170">
        <v>0</v>
      </c>
      <c r="N64" s="170">
        <v>0</v>
      </c>
      <c r="O64" s="373">
        <v>37.799999999999997</v>
      </c>
      <c r="P64" s="365">
        <v>0</v>
      </c>
      <c r="R64" s="18">
        <f t="shared" si="1"/>
        <v>61.8</v>
      </c>
    </row>
    <row r="65" spans="1:18" ht="29" x14ac:dyDescent="0.35">
      <c r="A65" s="276">
        <v>7654</v>
      </c>
      <c r="B65" s="399">
        <v>60884835</v>
      </c>
      <c r="C65" s="316" t="s">
        <v>27</v>
      </c>
      <c r="D65" s="286">
        <v>0</v>
      </c>
      <c r="E65" s="287">
        <v>52.5</v>
      </c>
      <c r="F65" s="287">
        <v>0</v>
      </c>
      <c r="G65" s="287">
        <v>0</v>
      </c>
      <c r="H65" s="287">
        <v>52.5</v>
      </c>
      <c r="I65" s="356">
        <v>0</v>
      </c>
      <c r="K65" s="372">
        <v>0</v>
      </c>
      <c r="L65" s="170">
        <v>56.25</v>
      </c>
      <c r="M65" s="170">
        <v>0</v>
      </c>
      <c r="N65" s="170">
        <v>0</v>
      </c>
      <c r="O65" s="373">
        <v>56.25</v>
      </c>
      <c r="P65" s="365">
        <v>0</v>
      </c>
      <c r="R65" s="18">
        <f t="shared" si="1"/>
        <v>108.75</v>
      </c>
    </row>
    <row r="66" spans="1:18" ht="28" x14ac:dyDescent="0.35">
      <c r="A66" s="278">
        <v>7655</v>
      </c>
      <c r="B66" s="399">
        <v>70980462</v>
      </c>
      <c r="C66" s="324" t="s">
        <v>169</v>
      </c>
      <c r="D66" s="286">
        <v>0</v>
      </c>
      <c r="E66" s="287">
        <v>56</v>
      </c>
      <c r="F66" s="287">
        <v>0</v>
      </c>
      <c r="G66" s="287">
        <v>0</v>
      </c>
      <c r="H66" s="287">
        <v>56</v>
      </c>
      <c r="I66" s="356">
        <v>0</v>
      </c>
      <c r="K66" s="372">
        <v>0</v>
      </c>
      <c r="L66" s="170">
        <v>96</v>
      </c>
      <c r="M66" s="170">
        <v>0</v>
      </c>
      <c r="N66" s="170">
        <v>0</v>
      </c>
      <c r="O66" s="373">
        <v>96</v>
      </c>
      <c r="P66" s="365">
        <v>0</v>
      </c>
      <c r="R66" s="18">
        <f t="shared" si="1"/>
        <v>152</v>
      </c>
    </row>
    <row r="67" spans="1:18" ht="28" x14ac:dyDescent="0.35">
      <c r="A67" s="276">
        <v>7657</v>
      </c>
      <c r="B67" s="399">
        <v>70979685</v>
      </c>
      <c r="C67" s="324" t="s">
        <v>61</v>
      </c>
      <c r="D67" s="286">
        <v>0</v>
      </c>
      <c r="E67" s="287">
        <v>55</v>
      </c>
      <c r="F67" s="287">
        <v>0</v>
      </c>
      <c r="G67" s="287">
        <v>0</v>
      </c>
      <c r="H67" s="287">
        <v>55</v>
      </c>
      <c r="I67" s="356">
        <v>0</v>
      </c>
      <c r="K67" s="372">
        <v>0</v>
      </c>
      <c r="L67" s="387">
        <f>120-8.5</f>
        <v>111.5</v>
      </c>
      <c r="M67" s="170">
        <v>0</v>
      </c>
      <c r="N67" s="170">
        <v>0</v>
      </c>
      <c r="O67" s="387">
        <f>120-8.5</f>
        <v>111.5</v>
      </c>
      <c r="P67" s="365">
        <v>0</v>
      </c>
      <c r="R67" s="18">
        <f t="shared" si="1"/>
        <v>166.5</v>
      </c>
    </row>
    <row r="68" spans="1:18" ht="28" x14ac:dyDescent="0.35">
      <c r="A68" s="276">
        <v>7658</v>
      </c>
      <c r="B68" s="399">
        <v>70156611</v>
      </c>
      <c r="C68" s="324" t="s">
        <v>62</v>
      </c>
      <c r="D68" s="286">
        <v>0</v>
      </c>
      <c r="E68" s="287">
        <v>40</v>
      </c>
      <c r="F68" s="287">
        <v>0</v>
      </c>
      <c r="G68" s="287">
        <v>0</v>
      </c>
      <c r="H68" s="287">
        <v>40</v>
      </c>
      <c r="I68" s="356">
        <v>0</v>
      </c>
      <c r="K68" s="372">
        <v>0</v>
      </c>
      <c r="L68" s="387">
        <f>70.5-12.9</f>
        <v>57.6</v>
      </c>
      <c r="M68" s="170">
        <v>0</v>
      </c>
      <c r="N68" s="170">
        <v>0</v>
      </c>
      <c r="O68" s="387">
        <f>70.5-12.9</f>
        <v>57.6</v>
      </c>
      <c r="P68" s="365">
        <v>0</v>
      </c>
      <c r="R68" s="18">
        <f t="shared" si="1"/>
        <v>97.6</v>
      </c>
    </row>
    <row r="69" spans="1:18" ht="29" x14ac:dyDescent="0.35">
      <c r="A69" s="276">
        <v>7660</v>
      </c>
      <c r="B69" s="399">
        <v>70980861</v>
      </c>
      <c r="C69" s="316" t="s">
        <v>170</v>
      </c>
      <c r="D69" s="286">
        <v>0</v>
      </c>
      <c r="E69" s="287">
        <v>24</v>
      </c>
      <c r="F69" s="287">
        <v>0</v>
      </c>
      <c r="G69" s="287">
        <v>0</v>
      </c>
      <c r="H69" s="287">
        <v>24</v>
      </c>
      <c r="I69" s="356">
        <v>0</v>
      </c>
      <c r="K69" s="372">
        <v>0</v>
      </c>
      <c r="L69" s="170">
        <v>37.5</v>
      </c>
      <c r="M69" s="170">
        <v>0</v>
      </c>
      <c r="N69" s="170">
        <v>0</v>
      </c>
      <c r="O69" s="373">
        <v>37.5</v>
      </c>
      <c r="P69" s="365">
        <v>0</v>
      </c>
      <c r="R69" s="18">
        <f t="shared" si="1"/>
        <v>61.5</v>
      </c>
    </row>
    <row r="70" spans="1:18" ht="28" x14ac:dyDescent="0.35">
      <c r="A70" s="276">
        <v>7662</v>
      </c>
      <c r="B70" s="399">
        <v>75017245</v>
      </c>
      <c r="C70" s="324" t="s">
        <v>63</v>
      </c>
      <c r="D70" s="286">
        <v>0</v>
      </c>
      <c r="E70" s="287">
        <v>12</v>
      </c>
      <c r="F70" s="287">
        <v>0</v>
      </c>
      <c r="G70" s="287">
        <v>0</v>
      </c>
      <c r="H70" s="287">
        <v>12</v>
      </c>
      <c r="I70" s="356">
        <v>0</v>
      </c>
      <c r="K70" s="372">
        <v>0</v>
      </c>
      <c r="L70" s="170">
        <v>21.6</v>
      </c>
      <c r="M70" s="170">
        <v>0</v>
      </c>
      <c r="N70" s="170">
        <v>0</v>
      </c>
      <c r="O70" s="373">
        <v>21.6</v>
      </c>
      <c r="P70" s="365">
        <v>0</v>
      </c>
      <c r="R70" s="18">
        <f t="shared" si="1"/>
        <v>33.6</v>
      </c>
    </row>
    <row r="71" spans="1:18" ht="15" thickBot="1" x14ac:dyDescent="0.4">
      <c r="A71" s="331">
        <v>7675</v>
      </c>
      <c r="B71" s="399">
        <v>75015421</v>
      </c>
      <c r="C71" s="328" t="s">
        <v>126</v>
      </c>
      <c r="D71" s="286">
        <v>0</v>
      </c>
      <c r="E71" s="287">
        <v>2.835</v>
      </c>
      <c r="F71" s="287">
        <v>0</v>
      </c>
      <c r="G71" s="287">
        <v>0</v>
      </c>
      <c r="H71" s="287">
        <v>2.835</v>
      </c>
      <c r="I71" s="356">
        <v>0</v>
      </c>
      <c r="K71" s="353">
        <v>0</v>
      </c>
      <c r="L71" s="354">
        <v>0</v>
      </c>
      <c r="M71" s="354">
        <v>0</v>
      </c>
      <c r="N71" s="354">
        <v>0</v>
      </c>
      <c r="O71" s="354">
        <v>0</v>
      </c>
      <c r="P71" s="364">
        <v>0</v>
      </c>
      <c r="R71" s="18">
        <f t="shared" si="1"/>
        <v>2.835</v>
      </c>
    </row>
    <row r="72" spans="1:18" ht="28" x14ac:dyDescent="0.35">
      <c r="A72" s="334">
        <v>7804</v>
      </c>
      <c r="B72" s="399">
        <v>60154721</v>
      </c>
      <c r="C72" s="323" t="s">
        <v>66</v>
      </c>
      <c r="D72" s="286">
        <v>0</v>
      </c>
      <c r="E72" s="287">
        <v>50.25</v>
      </c>
      <c r="F72" s="287">
        <v>0</v>
      </c>
      <c r="G72" s="287">
        <v>0</v>
      </c>
      <c r="H72" s="287">
        <v>50.25</v>
      </c>
      <c r="I72" s="356">
        <v>0</v>
      </c>
      <c r="K72" s="377">
        <v>0</v>
      </c>
      <c r="L72" s="389">
        <f>99-11.1</f>
        <v>87.9</v>
      </c>
      <c r="M72" s="378">
        <v>0</v>
      </c>
      <c r="N72" s="378">
        <v>0</v>
      </c>
      <c r="O72" s="389">
        <f>99-11.1</f>
        <v>87.9</v>
      </c>
      <c r="P72" s="367">
        <v>0</v>
      </c>
      <c r="R72" s="18">
        <f t="shared" si="1"/>
        <v>138.15</v>
      </c>
    </row>
    <row r="73" spans="1:18" ht="44" thickBot="1" x14ac:dyDescent="0.4">
      <c r="A73" s="332">
        <v>7805</v>
      </c>
      <c r="B73" s="399">
        <v>60154730</v>
      </c>
      <c r="C73" s="329" t="s">
        <v>67</v>
      </c>
      <c r="D73" s="286">
        <v>0</v>
      </c>
      <c r="E73" s="287">
        <v>60</v>
      </c>
      <c r="F73" s="287">
        <v>0</v>
      </c>
      <c r="G73" s="287">
        <v>0</v>
      </c>
      <c r="H73" s="287">
        <v>60</v>
      </c>
      <c r="I73" s="356">
        <v>0</v>
      </c>
      <c r="K73" s="380">
        <v>0</v>
      </c>
      <c r="L73" s="381">
        <v>85.8</v>
      </c>
      <c r="M73" s="381">
        <v>0</v>
      </c>
      <c r="N73" s="381">
        <v>0</v>
      </c>
      <c r="O73" s="382">
        <v>85.8</v>
      </c>
      <c r="P73" s="368">
        <v>0</v>
      </c>
      <c r="R73" s="18">
        <f t="shared" si="1"/>
        <v>145.80000000000001</v>
      </c>
    </row>
    <row r="74" spans="1:18" ht="28" x14ac:dyDescent="0.35">
      <c r="A74" s="334">
        <v>7824</v>
      </c>
      <c r="B74" s="399">
        <v>75016851</v>
      </c>
      <c r="C74" s="323" t="s">
        <v>68</v>
      </c>
      <c r="D74" s="286">
        <v>0</v>
      </c>
      <c r="E74" s="287">
        <v>12</v>
      </c>
      <c r="F74" s="287">
        <v>0</v>
      </c>
      <c r="G74" s="287">
        <v>0</v>
      </c>
      <c r="H74" s="287">
        <v>12</v>
      </c>
      <c r="I74" s="356">
        <v>0</v>
      </c>
      <c r="K74" s="383">
        <v>0</v>
      </c>
      <c r="L74" s="390">
        <f>18.75-4.25</f>
        <v>14.5</v>
      </c>
      <c r="M74" s="384">
        <v>0</v>
      </c>
      <c r="N74" s="384">
        <v>0</v>
      </c>
      <c r="O74" s="390">
        <f>18.75-4.25</f>
        <v>14.5</v>
      </c>
      <c r="P74" s="369">
        <v>0</v>
      </c>
      <c r="R74" s="18">
        <f t="shared" si="1"/>
        <v>26.5</v>
      </c>
    </row>
    <row r="75" spans="1:18" ht="28" x14ac:dyDescent="0.35">
      <c r="A75" s="276">
        <v>7827</v>
      </c>
      <c r="B75" s="399">
        <v>49290576</v>
      </c>
      <c r="C75" s="330" t="s">
        <v>171</v>
      </c>
      <c r="D75" s="286">
        <v>0</v>
      </c>
      <c r="E75" s="287">
        <v>6</v>
      </c>
      <c r="F75" s="287">
        <v>0</v>
      </c>
      <c r="G75" s="287">
        <v>0</v>
      </c>
      <c r="H75" s="287">
        <v>6</v>
      </c>
      <c r="I75" s="356">
        <v>0</v>
      </c>
      <c r="K75" s="372">
        <v>0</v>
      </c>
      <c r="L75" s="387">
        <f>11.1-0.3</f>
        <v>10.799999999999999</v>
      </c>
      <c r="M75" s="170">
        <v>0</v>
      </c>
      <c r="N75" s="170">
        <v>0</v>
      </c>
      <c r="O75" s="387">
        <f>11.1-0.3</f>
        <v>10.799999999999999</v>
      </c>
      <c r="P75" s="365">
        <v>0</v>
      </c>
      <c r="R75" s="18">
        <f t="shared" si="1"/>
        <v>16.799999999999997</v>
      </c>
    </row>
    <row r="76" spans="1:18" ht="28" x14ac:dyDescent="0.35">
      <c r="A76" s="276">
        <v>7829</v>
      </c>
      <c r="B76" s="399">
        <v>75017032</v>
      </c>
      <c r="C76" s="324" t="s">
        <v>107</v>
      </c>
      <c r="D76" s="286">
        <v>0</v>
      </c>
      <c r="E76" s="287">
        <v>24</v>
      </c>
      <c r="F76" s="287">
        <v>0</v>
      </c>
      <c r="G76" s="287">
        <v>0</v>
      </c>
      <c r="H76" s="287">
        <v>24</v>
      </c>
      <c r="I76" s="356">
        <v>0</v>
      </c>
      <c r="K76" s="372">
        <v>0</v>
      </c>
      <c r="L76" s="387">
        <f>45-14.5</f>
        <v>30.5</v>
      </c>
      <c r="M76" s="170">
        <v>0</v>
      </c>
      <c r="N76" s="170">
        <v>0</v>
      </c>
      <c r="O76" s="387">
        <f>45-14.5</f>
        <v>30.5</v>
      </c>
      <c r="P76" s="365">
        <v>0</v>
      </c>
      <c r="R76" s="18">
        <f t="shared" si="1"/>
        <v>54.5</v>
      </c>
    </row>
    <row r="77" spans="1:18" x14ac:dyDescent="0.35">
      <c r="A77" s="276">
        <v>7833</v>
      </c>
      <c r="B77" s="404">
        <v>64201121</v>
      </c>
      <c r="C77" s="324" t="s">
        <v>28</v>
      </c>
      <c r="D77" s="286">
        <v>0</v>
      </c>
      <c r="E77" s="403">
        <f>32-15</f>
        <v>17</v>
      </c>
      <c r="F77" s="403">
        <f>10.816-5.07</f>
        <v>5.7460000000000004</v>
      </c>
      <c r="G77" s="287">
        <v>0</v>
      </c>
      <c r="H77" s="403">
        <f>42.816-20.07</f>
        <v>22.746000000000002</v>
      </c>
      <c r="I77" s="356">
        <v>0</v>
      </c>
      <c r="K77" s="372">
        <v>0</v>
      </c>
      <c r="L77" s="387">
        <f>46.8-9.6</f>
        <v>37.199999999999996</v>
      </c>
      <c r="M77" s="170">
        <v>0</v>
      </c>
      <c r="N77" s="170">
        <v>0</v>
      </c>
      <c r="O77" s="387">
        <f>46.8-9.6</f>
        <v>37.199999999999996</v>
      </c>
      <c r="P77" s="365">
        <v>0</v>
      </c>
      <c r="R77" s="18">
        <f t="shared" si="1"/>
        <v>59.945999999999998</v>
      </c>
    </row>
    <row r="78" spans="1:18" x14ac:dyDescent="0.35">
      <c r="A78" s="276">
        <v>7834</v>
      </c>
      <c r="B78" s="399">
        <v>64201180</v>
      </c>
      <c r="C78" s="324" t="s">
        <v>172</v>
      </c>
      <c r="D78" s="286">
        <v>0</v>
      </c>
      <c r="E78" s="403">
        <f>48-9.5</f>
        <v>38.5</v>
      </c>
      <c r="F78" s="287">
        <v>0</v>
      </c>
      <c r="G78" s="287">
        <v>0</v>
      </c>
      <c r="H78" s="403">
        <f>48-9.5</f>
        <v>38.5</v>
      </c>
      <c r="I78" s="356">
        <v>0</v>
      </c>
      <c r="K78" s="372">
        <v>0</v>
      </c>
      <c r="L78" s="170">
        <v>13.8</v>
      </c>
      <c r="M78" s="170">
        <v>0</v>
      </c>
      <c r="N78" s="170">
        <v>0</v>
      </c>
      <c r="O78" s="373">
        <v>13.8</v>
      </c>
      <c r="P78" s="365">
        <v>0</v>
      </c>
      <c r="R78" s="18">
        <f t="shared" si="1"/>
        <v>52.3</v>
      </c>
    </row>
    <row r="79" spans="1:18" x14ac:dyDescent="0.35">
      <c r="A79" s="278">
        <v>7836</v>
      </c>
      <c r="B79" s="399">
        <v>64201147</v>
      </c>
      <c r="C79" s="324" t="s">
        <v>69</v>
      </c>
      <c r="D79" s="286">
        <v>0</v>
      </c>
      <c r="E79" s="287">
        <v>19.5</v>
      </c>
      <c r="F79" s="287">
        <v>6.5910000000000002</v>
      </c>
      <c r="G79" s="287">
        <v>0</v>
      </c>
      <c r="H79" s="287">
        <v>26.091000000000001</v>
      </c>
      <c r="I79" s="356">
        <v>0</v>
      </c>
      <c r="K79" s="372">
        <v>0</v>
      </c>
      <c r="L79" s="387">
        <f>39.6-11.4</f>
        <v>28.200000000000003</v>
      </c>
      <c r="M79" s="170">
        <v>0</v>
      </c>
      <c r="N79" s="170">
        <v>0</v>
      </c>
      <c r="O79" s="387">
        <f>39.6-11.4</f>
        <v>28.200000000000003</v>
      </c>
      <c r="P79" s="365">
        <v>0</v>
      </c>
      <c r="R79" s="18">
        <f t="shared" si="1"/>
        <v>54.291000000000004</v>
      </c>
    </row>
    <row r="80" spans="1:18" ht="28" x14ac:dyDescent="0.35">
      <c r="A80" s="278">
        <v>7850</v>
      </c>
      <c r="B80" s="399">
        <v>75018128</v>
      </c>
      <c r="C80" s="324" t="s">
        <v>173</v>
      </c>
      <c r="D80" s="286">
        <v>0</v>
      </c>
      <c r="E80" s="287">
        <v>0</v>
      </c>
      <c r="F80" s="287">
        <v>0</v>
      </c>
      <c r="G80" s="287">
        <v>0</v>
      </c>
      <c r="H80" s="287">
        <v>0</v>
      </c>
      <c r="I80" s="356">
        <v>0</v>
      </c>
      <c r="K80" s="372">
        <v>29.620999999999999</v>
      </c>
      <c r="L80" s="170">
        <v>0</v>
      </c>
      <c r="M80" s="170">
        <v>10.012</v>
      </c>
      <c r="N80" s="170">
        <v>0.59199999999999997</v>
      </c>
      <c r="O80" s="373">
        <v>40.225000000000001</v>
      </c>
      <c r="P80" s="365">
        <v>6.8000000000000005E-2</v>
      </c>
      <c r="R80" s="18">
        <f t="shared" si="1"/>
        <v>40.225000000000001</v>
      </c>
    </row>
    <row r="81" spans="1:18" ht="28" x14ac:dyDescent="0.35">
      <c r="A81" s="276">
        <v>7854</v>
      </c>
      <c r="B81" s="399">
        <v>49290266</v>
      </c>
      <c r="C81" s="324" t="s">
        <v>108</v>
      </c>
      <c r="D81" s="286">
        <v>0</v>
      </c>
      <c r="E81" s="287">
        <v>30</v>
      </c>
      <c r="F81" s="287">
        <v>0</v>
      </c>
      <c r="G81" s="287">
        <v>0</v>
      </c>
      <c r="H81" s="287">
        <v>30</v>
      </c>
      <c r="I81" s="356">
        <v>0</v>
      </c>
      <c r="K81" s="372">
        <v>0</v>
      </c>
      <c r="L81" s="387">
        <f>39.6-22.32</f>
        <v>17.28</v>
      </c>
      <c r="M81" s="170">
        <v>0</v>
      </c>
      <c r="N81" s="170">
        <v>0</v>
      </c>
      <c r="O81" s="387">
        <f>39.6-22.32</f>
        <v>17.28</v>
      </c>
      <c r="P81" s="365">
        <v>0</v>
      </c>
      <c r="R81" s="18">
        <f t="shared" si="1"/>
        <v>47.28</v>
      </c>
    </row>
    <row r="82" spans="1:18" x14ac:dyDescent="0.35">
      <c r="A82" s="276">
        <v>7861</v>
      </c>
      <c r="B82" s="399">
        <v>49290649</v>
      </c>
      <c r="C82" s="324" t="s">
        <v>71</v>
      </c>
      <c r="D82" s="286">
        <v>0</v>
      </c>
      <c r="E82" s="287">
        <v>21</v>
      </c>
      <c r="F82" s="287">
        <v>0</v>
      </c>
      <c r="G82" s="287">
        <v>0</v>
      </c>
      <c r="H82" s="287">
        <v>21</v>
      </c>
      <c r="I82" s="356">
        <v>0</v>
      </c>
      <c r="K82" s="372">
        <v>0</v>
      </c>
      <c r="L82" s="170">
        <v>42</v>
      </c>
      <c r="M82" s="170">
        <v>0</v>
      </c>
      <c r="N82" s="170">
        <v>0</v>
      </c>
      <c r="O82" s="373">
        <v>42</v>
      </c>
      <c r="P82" s="365">
        <v>0</v>
      </c>
      <c r="R82" s="18">
        <f t="shared" si="1"/>
        <v>63</v>
      </c>
    </row>
    <row r="83" spans="1:18" x14ac:dyDescent="0.35">
      <c r="A83" s="276">
        <v>7862</v>
      </c>
      <c r="B83" s="399">
        <v>60152885</v>
      </c>
      <c r="C83" s="324" t="s">
        <v>174</v>
      </c>
      <c r="D83" s="286">
        <v>0</v>
      </c>
      <c r="E83" s="287">
        <v>16</v>
      </c>
      <c r="F83" s="287">
        <v>0</v>
      </c>
      <c r="G83" s="287">
        <v>0</v>
      </c>
      <c r="H83" s="287">
        <v>16</v>
      </c>
      <c r="I83" s="356">
        <v>0</v>
      </c>
      <c r="K83" s="372">
        <v>0</v>
      </c>
      <c r="L83" s="170">
        <v>28.8</v>
      </c>
      <c r="M83" s="170">
        <v>0</v>
      </c>
      <c r="N83" s="170">
        <v>0</v>
      </c>
      <c r="O83" s="373">
        <v>28.8</v>
      </c>
      <c r="P83" s="365">
        <v>0</v>
      </c>
      <c r="R83" s="18">
        <f t="shared" si="1"/>
        <v>44.8</v>
      </c>
    </row>
    <row r="84" spans="1:18" ht="28.5" thickBot="1" x14ac:dyDescent="0.4">
      <c r="A84" s="337">
        <v>7864</v>
      </c>
      <c r="B84" s="399">
        <v>75017491</v>
      </c>
      <c r="C84" s="330" t="s">
        <v>72</v>
      </c>
      <c r="D84" s="286">
        <v>0</v>
      </c>
      <c r="E84" s="287">
        <v>12.5</v>
      </c>
      <c r="F84" s="287">
        <v>0</v>
      </c>
      <c r="G84" s="287">
        <v>0</v>
      </c>
      <c r="H84" s="287">
        <v>12.5</v>
      </c>
      <c r="I84" s="356">
        <v>0</v>
      </c>
      <c r="K84" s="374">
        <v>0</v>
      </c>
      <c r="L84" s="375">
        <v>37.5</v>
      </c>
      <c r="M84" s="375">
        <v>0</v>
      </c>
      <c r="N84" s="375">
        <v>0</v>
      </c>
      <c r="O84" s="376">
        <v>37.5</v>
      </c>
      <c r="P84" s="366">
        <v>0</v>
      </c>
      <c r="R84" s="18">
        <f t="shared" si="1"/>
        <v>50</v>
      </c>
    </row>
    <row r="85" spans="1:18" ht="28" x14ac:dyDescent="0.35">
      <c r="A85" s="334">
        <v>7880</v>
      </c>
      <c r="B85" s="399">
        <v>75016079</v>
      </c>
      <c r="C85" s="322" t="s">
        <v>175</v>
      </c>
      <c r="D85" s="286">
        <v>0</v>
      </c>
      <c r="E85" s="287">
        <v>16.5</v>
      </c>
      <c r="F85" s="287">
        <v>0</v>
      </c>
      <c r="G85" s="287">
        <v>0</v>
      </c>
      <c r="H85" s="287">
        <v>16.5</v>
      </c>
      <c r="I85" s="356">
        <v>0</v>
      </c>
      <c r="K85" s="377">
        <v>0</v>
      </c>
      <c r="L85" s="378">
        <v>0</v>
      </c>
      <c r="M85" s="378">
        <v>0</v>
      </c>
      <c r="N85" s="378">
        <v>0</v>
      </c>
      <c r="O85" s="379">
        <v>0</v>
      </c>
      <c r="P85" s="367">
        <v>0</v>
      </c>
      <c r="R85" s="18">
        <f t="shared" si="1"/>
        <v>16.5</v>
      </c>
    </row>
    <row r="86" spans="1:18" x14ac:dyDescent="0.35">
      <c r="A86" s="276">
        <v>7885</v>
      </c>
      <c r="B86" s="399">
        <v>43462448</v>
      </c>
      <c r="C86" s="86" t="s">
        <v>176</v>
      </c>
      <c r="D86" s="286">
        <v>0</v>
      </c>
      <c r="E86" s="403">
        <f>20-6.25</f>
        <v>13.75</v>
      </c>
      <c r="F86" s="287">
        <v>0</v>
      </c>
      <c r="G86" s="287">
        <v>0</v>
      </c>
      <c r="H86" s="403">
        <f>20-6.25</f>
        <v>13.75</v>
      </c>
      <c r="I86" s="356">
        <v>0</v>
      </c>
      <c r="K86" s="372">
        <v>0</v>
      </c>
      <c r="L86" s="170">
        <v>0</v>
      </c>
      <c r="M86" s="170">
        <v>0</v>
      </c>
      <c r="N86" s="170">
        <v>0</v>
      </c>
      <c r="O86" s="373">
        <v>0</v>
      </c>
      <c r="P86" s="365">
        <v>0</v>
      </c>
      <c r="R86" s="18">
        <f t="shared" si="1"/>
        <v>13.75</v>
      </c>
    </row>
    <row r="87" spans="1:18" x14ac:dyDescent="0.35">
      <c r="A87" s="276">
        <v>7892</v>
      </c>
      <c r="B87" s="399">
        <v>70947163</v>
      </c>
      <c r="C87" s="86" t="s">
        <v>73</v>
      </c>
      <c r="D87" s="286">
        <v>28</v>
      </c>
      <c r="E87" s="287">
        <v>0</v>
      </c>
      <c r="F87" s="287">
        <v>9.4640000000000004</v>
      </c>
      <c r="G87" s="287">
        <v>0.56000000000000005</v>
      </c>
      <c r="H87" s="287">
        <v>38.024000000000001</v>
      </c>
      <c r="I87" s="356">
        <v>0.06</v>
      </c>
      <c r="K87" s="372">
        <v>0</v>
      </c>
      <c r="L87" s="387">
        <f>30-9.3</f>
        <v>20.7</v>
      </c>
      <c r="M87" s="170">
        <v>0</v>
      </c>
      <c r="N87" s="170">
        <v>0</v>
      </c>
      <c r="O87" s="387">
        <f>30-9.3</f>
        <v>20.7</v>
      </c>
      <c r="P87" s="365">
        <v>0</v>
      </c>
      <c r="R87" s="18">
        <f t="shared" si="1"/>
        <v>58.724000000000004</v>
      </c>
    </row>
    <row r="88" spans="1:18" ht="15" thickBot="1" x14ac:dyDescent="0.4">
      <c r="A88" s="332">
        <v>7893</v>
      </c>
      <c r="B88" s="399">
        <v>68247630</v>
      </c>
      <c r="C88" s="327" t="s">
        <v>29</v>
      </c>
      <c r="D88" s="357">
        <v>0</v>
      </c>
      <c r="E88" s="358">
        <v>42</v>
      </c>
      <c r="F88" s="358">
        <v>0</v>
      </c>
      <c r="G88" s="358">
        <v>0</v>
      </c>
      <c r="H88" s="358">
        <v>42</v>
      </c>
      <c r="I88" s="359">
        <v>0</v>
      </c>
      <c r="K88" s="380">
        <v>0</v>
      </c>
      <c r="L88" s="391">
        <f>86.4-12.6</f>
        <v>73.800000000000011</v>
      </c>
      <c r="M88" s="381">
        <v>0</v>
      </c>
      <c r="N88" s="381">
        <v>0</v>
      </c>
      <c r="O88" s="391">
        <f>86.4-12.6</f>
        <v>73.800000000000011</v>
      </c>
      <c r="P88" s="368">
        <v>0</v>
      </c>
      <c r="R88" s="18">
        <f t="shared" si="1"/>
        <v>115.80000000000001</v>
      </c>
    </row>
    <row r="90" spans="1:18" x14ac:dyDescent="0.35">
      <c r="D90">
        <f t="shared" ref="D90:I90" si="2">SUM(D5:D88)</f>
        <v>1517.808</v>
      </c>
      <c r="E90">
        <f t="shared" si="2"/>
        <v>1568.329</v>
      </c>
      <c r="F90">
        <f t="shared" si="2"/>
        <v>553.42399999999998</v>
      </c>
      <c r="G90">
        <f t="shared" si="2"/>
        <v>30.355999999999998</v>
      </c>
      <c r="H90">
        <f t="shared" si="2"/>
        <v>3669.9169999999999</v>
      </c>
      <c r="I90">
        <f t="shared" si="2"/>
        <v>3.6958999999999995</v>
      </c>
      <c r="K90" s="371">
        <f t="shared" ref="K90:P90" si="3">SUM(K5:K88)</f>
        <v>1994.1080000000002</v>
      </c>
      <c r="L90" s="371">
        <f t="shared" si="3"/>
        <v>2169.66</v>
      </c>
      <c r="M90" s="371">
        <f t="shared" si="3"/>
        <v>664.14800000000014</v>
      </c>
      <c r="N90" s="371">
        <f t="shared" si="3"/>
        <v>39.881999999999998</v>
      </c>
      <c r="O90" s="371">
        <f t="shared" si="3"/>
        <v>4867.7980000000007</v>
      </c>
      <c r="P90">
        <f t="shared" si="3"/>
        <v>4.559099999999999</v>
      </c>
      <c r="R90">
        <f>SUM(R5:R88)</f>
        <v>8537.7149999999983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332A7-CF3B-4625-9FF2-DB82955C2683}">
  <dimension ref="A1:Y66"/>
  <sheetViews>
    <sheetView zoomScaleNormal="100" workbookViewId="0">
      <pane xSplit="3" ySplit="3" topLeftCell="D8" activePane="bottomRight" state="frozen"/>
      <selection pane="topRight" activeCell="D1" sqref="D1"/>
      <selection pane="bottomLeft" activeCell="A4" sqref="A4"/>
      <selection pane="bottomRight" activeCell="A23" sqref="A23:B23"/>
    </sheetView>
  </sheetViews>
  <sheetFormatPr defaultRowHeight="14.5" x14ac:dyDescent="0.35"/>
  <cols>
    <col min="1" max="1" width="5.6328125" customWidth="1"/>
    <col min="2" max="2" width="13.54296875" customWidth="1"/>
    <col min="3" max="3" width="33.6328125" customWidth="1"/>
    <col min="4" max="4" width="12" customWidth="1"/>
    <col min="5" max="5" width="11" customWidth="1"/>
    <col min="6" max="6" width="10" bestFit="1" customWidth="1"/>
    <col min="7" max="7" width="9.36328125" bestFit="1" customWidth="1"/>
    <col min="8" max="8" width="12" customWidth="1"/>
    <col min="9" max="9" width="8.36328125" customWidth="1"/>
    <col min="10" max="10" width="3.08984375" customWidth="1"/>
    <col min="11" max="11" width="9.90625" customWidth="1"/>
    <col min="12" max="12" width="10.36328125" customWidth="1"/>
    <col min="13" max="13" width="10.6328125" customWidth="1"/>
    <col min="14" max="14" width="10.453125" customWidth="1"/>
    <col min="15" max="15" width="12" customWidth="1"/>
    <col min="16" max="16" width="9.36328125" bestFit="1" customWidth="1"/>
    <col min="17" max="17" width="3.08984375" customWidth="1"/>
    <col min="18" max="18" width="12" customWidth="1"/>
    <col min="20" max="20" width="9.54296875" bestFit="1" customWidth="1"/>
    <col min="25" max="25" width="16.90625" customWidth="1"/>
  </cols>
  <sheetData>
    <row r="1" spans="1:25" ht="15.5" x14ac:dyDescent="0.35">
      <c r="A1" s="9" t="s">
        <v>150</v>
      </c>
    </row>
    <row r="2" spans="1:25" ht="15" thickBot="1" x14ac:dyDescent="0.4">
      <c r="A2" s="10" t="s">
        <v>8</v>
      </c>
      <c r="D2" t="s">
        <v>10</v>
      </c>
      <c r="K2" t="s">
        <v>11</v>
      </c>
      <c r="R2" s="71" t="s">
        <v>13</v>
      </c>
    </row>
    <row r="3" spans="1:25" ht="39.5" thickBot="1" x14ac:dyDescent="0.4">
      <c r="A3" s="1" t="s">
        <v>0</v>
      </c>
      <c r="B3" s="2" t="s">
        <v>9</v>
      </c>
      <c r="C3" s="30" t="s">
        <v>1</v>
      </c>
      <c r="D3" s="11" t="s">
        <v>2</v>
      </c>
      <c r="E3" s="12" t="s">
        <v>3</v>
      </c>
      <c r="F3" s="12" t="s">
        <v>4</v>
      </c>
      <c r="G3" s="13" t="s">
        <v>5</v>
      </c>
      <c r="H3" s="14" t="s">
        <v>6</v>
      </c>
      <c r="I3" s="15" t="s">
        <v>7</v>
      </c>
      <c r="K3" s="4" t="s">
        <v>2</v>
      </c>
      <c r="L3" s="5" t="s">
        <v>3</v>
      </c>
      <c r="M3" s="5" t="s">
        <v>4</v>
      </c>
      <c r="N3" s="6" t="s">
        <v>5</v>
      </c>
      <c r="O3" s="7" t="s">
        <v>6</v>
      </c>
      <c r="P3" s="8" t="s">
        <v>7</v>
      </c>
      <c r="R3" s="190" t="s">
        <v>6</v>
      </c>
    </row>
    <row r="4" spans="1:25" ht="26" x14ac:dyDescent="0.35">
      <c r="A4" s="25">
        <v>7001</v>
      </c>
      <c r="B4" s="145">
        <v>71000763</v>
      </c>
      <c r="C4" s="75" t="s">
        <v>30</v>
      </c>
      <c r="D4" s="182">
        <v>0</v>
      </c>
      <c r="E4" s="256">
        <v>3.9</v>
      </c>
      <c r="F4" s="185">
        <v>0</v>
      </c>
      <c r="G4" s="185">
        <v>0</v>
      </c>
      <c r="H4" s="175">
        <v>3.9</v>
      </c>
      <c r="I4" s="186">
        <v>0</v>
      </c>
      <c r="K4" s="194">
        <v>0</v>
      </c>
      <c r="L4" s="195">
        <v>0</v>
      </c>
      <c r="M4" s="32">
        <v>0</v>
      </c>
      <c r="N4" s="32">
        <v>0</v>
      </c>
      <c r="O4" s="262">
        <v>0</v>
      </c>
      <c r="P4" s="196"/>
      <c r="R4" s="18">
        <f>H4+O4</f>
        <v>3.9</v>
      </c>
      <c r="T4" s="174"/>
      <c r="U4" s="174"/>
      <c r="V4" s="174"/>
      <c r="W4" s="174"/>
      <c r="X4" s="174"/>
      <c r="Y4" s="174"/>
    </row>
    <row r="5" spans="1:25" ht="26" x14ac:dyDescent="0.35">
      <c r="A5" s="22">
        <v>7006</v>
      </c>
      <c r="B5" s="131">
        <v>71000682</v>
      </c>
      <c r="C5" s="75" t="s">
        <v>31</v>
      </c>
      <c r="D5" s="183">
        <v>0</v>
      </c>
      <c r="E5" s="257">
        <v>4.8</v>
      </c>
      <c r="F5" s="172">
        <v>0</v>
      </c>
      <c r="G5" s="172">
        <v>0</v>
      </c>
      <c r="H5" s="179">
        <v>4.8</v>
      </c>
      <c r="I5" s="187">
        <v>0</v>
      </c>
      <c r="K5" s="197">
        <v>0</v>
      </c>
      <c r="L5" s="198">
        <v>0</v>
      </c>
      <c r="M5" s="35">
        <v>0</v>
      </c>
      <c r="N5" s="35">
        <v>0</v>
      </c>
      <c r="O5" s="263">
        <v>0</v>
      </c>
      <c r="P5" s="199"/>
      <c r="R5" s="18">
        <f t="shared" ref="R5:R17" si="0">H5+O5</f>
        <v>4.8</v>
      </c>
      <c r="T5" s="174"/>
    </row>
    <row r="6" spans="1:25" ht="26" x14ac:dyDescent="0.35">
      <c r="A6" s="22">
        <v>7040</v>
      </c>
      <c r="B6" s="131">
        <v>75018136</v>
      </c>
      <c r="C6" s="76" t="s">
        <v>32</v>
      </c>
      <c r="D6" s="183">
        <v>0</v>
      </c>
      <c r="E6" s="179">
        <v>9.6</v>
      </c>
      <c r="F6" s="172">
        <v>0</v>
      </c>
      <c r="G6" s="172">
        <v>0</v>
      </c>
      <c r="H6" s="179">
        <v>9.6</v>
      </c>
      <c r="I6" s="187">
        <v>0</v>
      </c>
      <c r="K6" s="58">
        <v>0</v>
      </c>
      <c r="L6" s="200">
        <v>15.3</v>
      </c>
      <c r="M6" s="201">
        <v>0</v>
      </c>
      <c r="N6" s="201">
        <v>0</v>
      </c>
      <c r="O6" s="264">
        <v>15.3</v>
      </c>
      <c r="P6" s="220">
        <v>0</v>
      </c>
      <c r="R6" s="18">
        <f t="shared" si="0"/>
        <v>24.9</v>
      </c>
      <c r="T6" s="174"/>
    </row>
    <row r="7" spans="1:25" ht="26" x14ac:dyDescent="0.35">
      <c r="A7" s="22">
        <v>7048</v>
      </c>
      <c r="B7" s="131">
        <v>70992061</v>
      </c>
      <c r="C7" s="76" t="s">
        <v>33</v>
      </c>
      <c r="D7" s="183">
        <v>0</v>
      </c>
      <c r="E7" s="179">
        <v>9.6</v>
      </c>
      <c r="F7" s="172">
        <v>0</v>
      </c>
      <c r="G7" s="172">
        <v>0</v>
      </c>
      <c r="H7" s="179">
        <v>9.6</v>
      </c>
      <c r="I7" s="187">
        <v>0</v>
      </c>
      <c r="K7" s="197">
        <v>0</v>
      </c>
      <c r="L7" s="33">
        <v>0</v>
      </c>
      <c r="M7" s="35">
        <v>0</v>
      </c>
      <c r="N7" s="35">
        <v>0</v>
      </c>
      <c r="O7" s="265">
        <v>0</v>
      </c>
      <c r="P7" s="220"/>
      <c r="R7" s="18">
        <f t="shared" si="0"/>
        <v>9.6</v>
      </c>
      <c r="T7" s="174"/>
    </row>
    <row r="8" spans="1:25" ht="26" x14ac:dyDescent="0.35">
      <c r="A8" s="22">
        <v>7056</v>
      </c>
      <c r="B8" s="131">
        <v>69172366</v>
      </c>
      <c r="C8" s="76" t="s">
        <v>34</v>
      </c>
      <c r="D8" s="183">
        <v>0</v>
      </c>
      <c r="E8" s="179">
        <v>28.8</v>
      </c>
      <c r="F8" s="172">
        <v>0</v>
      </c>
      <c r="G8" s="172">
        <v>0</v>
      </c>
      <c r="H8" s="179">
        <v>28.8</v>
      </c>
      <c r="I8" s="187">
        <v>0</v>
      </c>
      <c r="K8" s="197">
        <v>0</v>
      </c>
      <c r="L8" s="33">
        <v>43.2</v>
      </c>
      <c r="M8" s="35">
        <v>0</v>
      </c>
      <c r="N8" s="35">
        <v>0</v>
      </c>
      <c r="O8" s="265">
        <v>43.2</v>
      </c>
      <c r="P8" s="220">
        <v>0</v>
      </c>
      <c r="R8" s="18">
        <f t="shared" si="0"/>
        <v>72</v>
      </c>
      <c r="T8" s="174"/>
    </row>
    <row r="9" spans="1:25" ht="26" x14ac:dyDescent="0.35">
      <c r="A9" s="22">
        <v>7058</v>
      </c>
      <c r="B9" s="131">
        <v>62693123</v>
      </c>
      <c r="C9" s="76" t="s">
        <v>35</v>
      </c>
      <c r="D9" s="183">
        <v>0</v>
      </c>
      <c r="E9" s="179">
        <v>18.600000000000001</v>
      </c>
      <c r="F9" s="172">
        <v>0</v>
      </c>
      <c r="G9" s="172">
        <v>0</v>
      </c>
      <c r="H9" s="179">
        <v>18.600000000000001</v>
      </c>
      <c r="I9" s="187">
        <v>0</v>
      </c>
      <c r="K9" s="197">
        <v>0</v>
      </c>
      <c r="L9" s="33">
        <v>23.4</v>
      </c>
      <c r="M9" s="35">
        <v>0</v>
      </c>
      <c r="N9" s="35">
        <v>0</v>
      </c>
      <c r="O9" s="265">
        <v>23.4</v>
      </c>
      <c r="P9" s="220">
        <v>0</v>
      </c>
      <c r="R9" s="18">
        <f t="shared" si="0"/>
        <v>42</v>
      </c>
      <c r="T9" s="174"/>
    </row>
    <row r="10" spans="1:25" ht="26" x14ac:dyDescent="0.35">
      <c r="A10" s="22">
        <v>7060</v>
      </c>
      <c r="B10" s="131">
        <v>62060422</v>
      </c>
      <c r="C10" s="76" t="s">
        <v>36</v>
      </c>
      <c r="D10" s="183">
        <v>0</v>
      </c>
      <c r="E10" s="179">
        <v>7.8</v>
      </c>
      <c r="F10" s="172">
        <v>0</v>
      </c>
      <c r="G10" s="172">
        <v>0</v>
      </c>
      <c r="H10" s="179">
        <v>7.8</v>
      </c>
      <c r="I10" s="187">
        <v>0</v>
      </c>
      <c r="K10" s="197">
        <v>0</v>
      </c>
      <c r="L10" s="33">
        <v>0</v>
      </c>
      <c r="M10" s="35">
        <v>0</v>
      </c>
      <c r="N10" s="35">
        <v>0</v>
      </c>
      <c r="O10" s="265">
        <v>0</v>
      </c>
      <c r="P10" s="220"/>
      <c r="R10" s="18">
        <f t="shared" si="0"/>
        <v>7.8</v>
      </c>
      <c r="T10" s="174"/>
    </row>
    <row r="11" spans="1:25" ht="26" x14ac:dyDescent="0.35">
      <c r="A11" s="22">
        <v>7061</v>
      </c>
      <c r="B11" s="132">
        <v>70886083</v>
      </c>
      <c r="C11" s="76" t="s">
        <v>37</v>
      </c>
      <c r="D11" s="183">
        <v>0</v>
      </c>
      <c r="E11" s="179">
        <v>18</v>
      </c>
      <c r="F11" s="172">
        <v>0</v>
      </c>
      <c r="G11" s="172">
        <v>0</v>
      </c>
      <c r="H11" s="179">
        <v>18</v>
      </c>
      <c r="I11" s="187">
        <v>0</v>
      </c>
      <c r="K11" s="58">
        <v>0</v>
      </c>
      <c r="L11" s="35">
        <v>18.899999999999999</v>
      </c>
      <c r="M11" s="33">
        <v>0</v>
      </c>
      <c r="N11" s="33">
        <v>0</v>
      </c>
      <c r="O11" s="265">
        <v>18.899999999999999</v>
      </c>
      <c r="P11" s="220">
        <v>0</v>
      </c>
      <c r="R11" s="18">
        <f t="shared" si="0"/>
        <v>36.9</v>
      </c>
      <c r="T11" s="174"/>
    </row>
    <row r="12" spans="1:25" ht="29" x14ac:dyDescent="0.35">
      <c r="A12" s="22">
        <v>7062</v>
      </c>
      <c r="B12" s="131">
        <v>62695177</v>
      </c>
      <c r="C12" s="77" t="s">
        <v>18</v>
      </c>
      <c r="D12" s="176">
        <v>23.335000000000001</v>
      </c>
      <c r="E12" s="181">
        <v>0</v>
      </c>
      <c r="F12" s="172">
        <v>7.8869999999999996</v>
      </c>
      <c r="G12" s="172">
        <v>0.46700000000000003</v>
      </c>
      <c r="H12" s="179">
        <v>31.689</v>
      </c>
      <c r="I12" s="188">
        <v>4.5499999999999999E-2</v>
      </c>
      <c r="K12" s="203">
        <v>35.003999999999998</v>
      </c>
      <c r="L12" s="200">
        <v>0</v>
      </c>
      <c r="M12" s="204">
        <v>11.831</v>
      </c>
      <c r="N12" s="200">
        <v>0.35</v>
      </c>
      <c r="O12" s="205">
        <v>47.185000000000002</v>
      </c>
      <c r="P12" s="221">
        <v>6.8199999999999997E-2</v>
      </c>
      <c r="R12" s="18">
        <f t="shared" si="0"/>
        <v>78.873999999999995</v>
      </c>
      <c r="T12" s="174"/>
    </row>
    <row r="13" spans="1:25" ht="26" x14ac:dyDescent="0.35">
      <c r="A13" s="22">
        <v>7065</v>
      </c>
      <c r="B13" s="133">
        <v>70886091</v>
      </c>
      <c r="C13" s="76" t="s">
        <v>38</v>
      </c>
      <c r="D13" s="184">
        <v>0</v>
      </c>
      <c r="E13" s="255">
        <f>11.7-2.4</f>
        <v>9.2999999999999989</v>
      </c>
      <c r="F13" s="172">
        <v>0</v>
      </c>
      <c r="G13" s="172">
        <v>0</v>
      </c>
      <c r="H13" s="255">
        <f>11.7-2.4</f>
        <v>9.2999999999999989</v>
      </c>
      <c r="I13" s="187">
        <v>0</v>
      </c>
      <c r="K13" s="203">
        <v>0</v>
      </c>
      <c r="L13" s="206">
        <f>20.7-2.4</f>
        <v>18.3</v>
      </c>
      <c r="M13" s="204">
        <v>0</v>
      </c>
      <c r="N13" s="200">
        <v>0</v>
      </c>
      <c r="O13" s="258">
        <f>20.7-2.4</f>
        <v>18.3</v>
      </c>
      <c r="P13" s="221">
        <v>0</v>
      </c>
      <c r="R13" s="18">
        <f t="shared" si="0"/>
        <v>27.6</v>
      </c>
      <c r="T13" s="174"/>
    </row>
    <row r="14" spans="1:25" ht="26" x14ac:dyDescent="0.35">
      <c r="A14" s="22">
        <v>7066</v>
      </c>
      <c r="B14" s="131">
        <v>62692755</v>
      </c>
      <c r="C14" s="76" t="s">
        <v>39</v>
      </c>
      <c r="D14" s="184">
        <v>0</v>
      </c>
      <c r="E14" s="179">
        <v>21</v>
      </c>
      <c r="F14" s="172">
        <v>0</v>
      </c>
      <c r="G14" s="172">
        <v>0</v>
      </c>
      <c r="H14" s="179">
        <v>21</v>
      </c>
      <c r="I14" s="187">
        <v>0</v>
      </c>
      <c r="K14" s="197">
        <v>0</v>
      </c>
      <c r="L14" s="33">
        <v>36</v>
      </c>
      <c r="M14" s="35">
        <v>0</v>
      </c>
      <c r="N14" s="35">
        <v>0</v>
      </c>
      <c r="O14" s="265">
        <v>36</v>
      </c>
      <c r="P14" s="220">
        <v>0</v>
      </c>
      <c r="R14" s="18">
        <f t="shared" si="0"/>
        <v>57</v>
      </c>
      <c r="T14" s="174"/>
    </row>
    <row r="15" spans="1:25" ht="25" x14ac:dyDescent="0.35">
      <c r="A15" s="22">
        <v>7074</v>
      </c>
      <c r="B15" s="133">
        <v>62695398</v>
      </c>
      <c r="C15" s="78" t="s">
        <v>40</v>
      </c>
      <c r="D15" s="184">
        <v>0</v>
      </c>
      <c r="E15" s="179">
        <v>21</v>
      </c>
      <c r="F15" s="172">
        <v>0</v>
      </c>
      <c r="G15" s="172">
        <v>0</v>
      </c>
      <c r="H15" s="179">
        <v>21</v>
      </c>
      <c r="I15" s="187">
        <v>0</v>
      </c>
      <c r="K15" s="197">
        <v>0</v>
      </c>
      <c r="L15" s="33">
        <v>31.5</v>
      </c>
      <c r="M15" s="35">
        <v>0</v>
      </c>
      <c r="N15" s="35">
        <v>0</v>
      </c>
      <c r="O15" s="265">
        <v>31.5</v>
      </c>
      <c r="P15" s="220">
        <v>0</v>
      </c>
      <c r="R15" s="18">
        <f t="shared" si="0"/>
        <v>52.5</v>
      </c>
      <c r="T15" s="174"/>
    </row>
    <row r="16" spans="1:25" ht="39.5" thickBot="1" x14ac:dyDescent="0.4">
      <c r="A16" s="22">
        <v>7100</v>
      </c>
      <c r="B16" s="133">
        <v>75041511</v>
      </c>
      <c r="C16" s="79" t="s">
        <v>41</v>
      </c>
      <c r="D16" s="184">
        <v>0</v>
      </c>
      <c r="E16" s="255">
        <f>11.7-0.6</f>
        <v>11.1</v>
      </c>
      <c r="F16" s="172">
        <v>0</v>
      </c>
      <c r="G16" s="172">
        <v>0</v>
      </c>
      <c r="H16" s="255">
        <f>11.7-0.6</f>
        <v>11.1</v>
      </c>
      <c r="I16" s="187">
        <v>0</v>
      </c>
      <c r="K16" s="58">
        <v>0</v>
      </c>
      <c r="L16" s="207">
        <f>22.5-2.1</f>
        <v>20.399999999999999</v>
      </c>
      <c r="M16" s="33">
        <v>0</v>
      </c>
      <c r="N16" s="33">
        <v>0</v>
      </c>
      <c r="O16" s="266">
        <f>22.5-2.1</f>
        <v>20.399999999999999</v>
      </c>
      <c r="P16" s="220">
        <v>0</v>
      </c>
      <c r="R16" s="18">
        <f t="shared" si="0"/>
        <v>31.5</v>
      </c>
      <c r="T16" s="174"/>
    </row>
    <row r="17" spans="1:20" ht="26" x14ac:dyDescent="0.35">
      <c r="A17" s="31">
        <v>7084</v>
      </c>
      <c r="B17" s="133">
        <v>62690957</v>
      </c>
      <c r="C17" s="80" t="s">
        <v>42</v>
      </c>
      <c r="D17" s="184">
        <v>0</v>
      </c>
      <c r="E17" s="179">
        <v>9.25</v>
      </c>
      <c r="F17" s="172">
        <v>0</v>
      </c>
      <c r="G17" s="172">
        <v>0</v>
      </c>
      <c r="H17" s="179">
        <v>9.25</v>
      </c>
      <c r="I17" s="187">
        <v>0</v>
      </c>
      <c r="J17" s="87"/>
      <c r="K17" s="197">
        <v>0</v>
      </c>
      <c r="L17" s="33">
        <v>17.100000000000001</v>
      </c>
      <c r="M17" s="35">
        <v>0</v>
      </c>
      <c r="N17" s="35">
        <v>0</v>
      </c>
      <c r="O17" s="265">
        <v>17.100000000000001</v>
      </c>
      <c r="P17" s="220">
        <v>0</v>
      </c>
      <c r="Q17" s="87"/>
      <c r="R17" s="18">
        <f t="shared" si="0"/>
        <v>26.35</v>
      </c>
      <c r="T17" s="174"/>
    </row>
    <row r="18" spans="1:20" ht="26" x14ac:dyDescent="0.35">
      <c r="A18" s="88">
        <v>7085</v>
      </c>
      <c r="B18" s="146">
        <v>62690965</v>
      </c>
      <c r="C18" s="80" t="s">
        <v>24</v>
      </c>
      <c r="D18" s="176">
        <v>34.65</v>
      </c>
      <c r="E18" s="179">
        <v>0</v>
      </c>
      <c r="F18" s="172">
        <v>11.712</v>
      </c>
      <c r="G18" s="172">
        <v>0.69299999999999995</v>
      </c>
      <c r="H18" s="179">
        <v>47.055</v>
      </c>
      <c r="I18" s="188">
        <v>7.5700000000000003E-2</v>
      </c>
      <c r="J18" s="87"/>
      <c r="K18" s="208">
        <f>68.06-9.724</f>
        <v>58.335999999999999</v>
      </c>
      <c r="L18" s="170">
        <v>0</v>
      </c>
      <c r="M18" s="209">
        <f>23.004-3.286</f>
        <v>19.718</v>
      </c>
      <c r="N18" s="209">
        <f>0.681-0.098</f>
        <v>0.58300000000000007</v>
      </c>
      <c r="O18" s="267">
        <f>SUM(K18:N18)</f>
        <v>78.637</v>
      </c>
      <c r="P18" s="171">
        <v>0.13270000000000001</v>
      </c>
      <c r="Q18" s="87"/>
      <c r="R18" s="191">
        <f t="shared" ref="R18:R50" si="1">H18+O18</f>
        <v>125.69200000000001</v>
      </c>
      <c r="T18" s="174"/>
    </row>
    <row r="19" spans="1:20" ht="28" x14ac:dyDescent="0.35">
      <c r="A19" s="88">
        <v>7088</v>
      </c>
      <c r="B19" s="146">
        <v>75015692</v>
      </c>
      <c r="C19" s="81" t="s">
        <v>43</v>
      </c>
      <c r="D19" s="184">
        <v>0</v>
      </c>
      <c r="E19" s="255">
        <f>12-3.75</f>
        <v>8.25</v>
      </c>
      <c r="F19" s="172">
        <v>0</v>
      </c>
      <c r="G19" s="172">
        <v>0</v>
      </c>
      <c r="H19" s="255">
        <f>12-3.75</f>
        <v>8.25</v>
      </c>
      <c r="I19" s="187">
        <v>0</v>
      </c>
      <c r="J19" s="87"/>
      <c r="K19" s="210">
        <v>0</v>
      </c>
      <c r="L19" s="211">
        <f>18.75-6.75</f>
        <v>12</v>
      </c>
      <c r="M19" s="212">
        <v>0</v>
      </c>
      <c r="N19" s="212">
        <v>0</v>
      </c>
      <c r="O19" s="268">
        <f>18.75-6.75</f>
        <v>12</v>
      </c>
      <c r="P19" s="222">
        <v>0</v>
      </c>
      <c r="Q19" s="87"/>
      <c r="R19" s="192">
        <f t="shared" si="1"/>
        <v>20.25</v>
      </c>
      <c r="T19" s="174"/>
    </row>
    <row r="20" spans="1:20" ht="28" x14ac:dyDescent="0.35">
      <c r="A20" s="88">
        <v>7201</v>
      </c>
      <c r="B20" s="146">
        <v>70971137</v>
      </c>
      <c r="C20" s="81" t="s">
        <v>19</v>
      </c>
      <c r="D20" s="184">
        <v>0</v>
      </c>
      <c r="E20" s="255">
        <f>28.8-9.6</f>
        <v>19.200000000000003</v>
      </c>
      <c r="F20" s="172">
        <v>0</v>
      </c>
      <c r="G20" s="172">
        <v>0</v>
      </c>
      <c r="H20" s="255">
        <f>28.8-9.6</f>
        <v>19.200000000000003</v>
      </c>
      <c r="I20" s="187">
        <v>0</v>
      </c>
      <c r="J20" s="87"/>
      <c r="K20" s="213">
        <f>76.056-6.309</f>
        <v>69.747</v>
      </c>
      <c r="L20" s="212">
        <v>0</v>
      </c>
      <c r="M20" s="211">
        <f>25.707-2.133</f>
        <v>23.574000000000002</v>
      </c>
      <c r="N20" s="211">
        <f>0.761-0.064</f>
        <v>0.69700000000000006</v>
      </c>
      <c r="O20" s="268">
        <f>SUM(K20:N20)</f>
        <v>94.018000000000001</v>
      </c>
      <c r="P20" s="223">
        <f>0.1818-0.0113</f>
        <v>0.17049999999999998</v>
      </c>
      <c r="Q20" s="87"/>
      <c r="R20" s="192">
        <f t="shared" si="1"/>
        <v>113.218</v>
      </c>
      <c r="T20" s="174"/>
    </row>
    <row r="21" spans="1:20" ht="28" x14ac:dyDescent="0.35">
      <c r="A21" s="88">
        <v>7211</v>
      </c>
      <c r="B21" s="146">
        <v>75015111</v>
      </c>
      <c r="C21" s="81" t="s">
        <v>44</v>
      </c>
      <c r="D21" s="184">
        <v>0</v>
      </c>
      <c r="E21" s="179">
        <v>7.8</v>
      </c>
      <c r="F21" s="172">
        <v>0</v>
      </c>
      <c r="G21" s="172">
        <v>0</v>
      </c>
      <c r="H21" s="179">
        <v>7.8</v>
      </c>
      <c r="I21" s="187">
        <v>0</v>
      </c>
      <c r="J21" s="87"/>
      <c r="K21" s="210">
        <v>0</v>
      </c>
      <c r="L21" s="212">
        <v>13.5</v>
      </c>
      <c r="M21" s="212">
        <v>0</v>
      </c>
      <c r="N21" s="212">
        <v>0</v>
      </c>
      <c r="O21" s="269">
        <v>13.5</v>
      </c>
      <c r="P21" s="222">
        <v>0</v>
      </c>
      <c r="Q21" s="87"/>
      <c r="R21" s="192">
        <f t="shared" si="1"/>
        <v>21.3</v>
      </c>
      <c r="T21" s="174"/>
    </row>
    <row r="22" spans="1:20" ht="28" x14ac:dyDescent="0.35">
      <c r="A22" s="88">
        <v>7230</v>
      </c>
      <c r="B22" s="146">
        <v>75019167</v>
      </c>
      <c r="C22" s="165" t="s">
        <v>45</v>
      </c>
      <c r="D22" s="184">
        <v>0</v>
      </c>
      <c r="E22" s="179">
        <v>3</v>
      </c>
      <c r="F22" s="172">
        <v>0</v>
      </c>
      <c r="G22" s="172">
        <v>0</v>
      </c>
      <c r="H22" s="179">
        <v>3</v>
      </c>
      <c r="I22" s="187">
        <v>0</v>
      </c>
      <c r="J22" s="87"/>
      <c r="K22" s="210">
        <v>0</v>
      </c>
      <c r="L22" s="211">
        <f>8-2.75</f>
        <v>5.25</v>
      </c>
      <c r="M22" s="212">
        <v>0</v>
      </c>
      <c r="N22" s="212">
        <v>0</v>
      </c>
      <c r="O22" s="268">
        <f>8-2.75</f>
        <v>5.25</v>
      </c>
      <c r="P22" s="222">
        <v>0</v>
      </c>
      <c r="Q22" s="87"/>
      <c r="R22" s="192">
        <f t="shared" si="1"/>
        <v>8.25</v>
      </c>
      <c r="T22" s="174"/>
    </row>
    <row r="23" spans="1:20" ht="28" x14ac:dyDescent="0.35">
      <c r="A23" s="88">
        <v>7248</v>
      </c>
      <c r="B23" s="146">
        <v>70886822</v>
      </c>
      <c r="C23" s="166" t="s">
        <v>21</v>
      </c>
      <c r="D23" s="176">
        <v>100</v>
      </c>
      <c r="E23" s="179">
        <v>0</v>
      </c>
      <c r="F23" s="172">
        <v>33.799999999999997</v>
      </c>
      <c r="G23" s="172">
        <v>2</v>
      </c>
      <c r="H23" s="179">
        <v>135.80000000000001</v>
      </c>
      <c r="I23" s="188">
        <v>0.18940000000000001</v>
      </c>
      <c r="J23" s="87"/>
      <c r="K23" s="210">
        <v>0</v>
      </c>
      <c r="L23" s="211">
        <f>48-20.1</f>
        <v>27.9</v>
      </c>
      <c r="M23" s="212">
        <v>0</v>
      </c>
      <c r="N23" s="212">
        <v>0</v>
      </c>
      <c r="O23" s="268">
        <f>48-20.1</f>
        <v>27.9</v>
      </c>
      <c r="P23" s="222">
        <v>0</v>
      </c>
      <c r="Q23" s="87"/>
      <c r="R23" s="192">
        <f t="shared" si="1"/>
        <v>163.70000000000002</v>
      </c>
      <c r="T23" s="174"/>
    </row>
    <row r="24" spans="1:20" ht="28" x14ac:dyDescent="0.35">
      <c r="A24" s="88">
        <v>7253</v>
      </c>
      <c r="B24" s="146">
        <v>70879150</v>
      </c>
      <c r="C24" s="166" t="s">
        <v>46</v>
      </c>
      <c r="D24" s="176">
        <v>26.4</v>
      </c>
      <c r="E24" s="179">
        <v>0</v>
      </c>
      <c r="F24" s="172">
        <v>8.923</v>
      </c>
      <c r="G24" s="172">
        <v>0.52800000000000002</v>
      </c>
      <c r="H24" s="179">
        <v>35.850999999999999</v>
      </c>
      <c r="I24" s="188">
        <v>6.0600000000000001E-2</v>
      </c>
      <c r="J24" s="87"/>
      <c r="K24" s="210">
        <v>48</v>
      </c>
      <c r="L24" s="212">
        <v>0</v>
      </c>
      <c r="M24" s="212">
        <v>16.224</v>
      </c>
      <c r="N24" s="212">
        <v>0.48</v>
      </c>
      <c r="O24" s="269">
        <v>64.703999999999994</v>
      </c>
      <c r="P24" s="222">
        <v>9.0899999999999995E-2</v>
      </c>
      <c r="Q24" s="87"/>
      <c r="R24" s="192">
        <f t="shared" si="1"/>
        <v>100.55499999999999</v>
      </c>
      <c r="T24" s="174"/>
    </row>
    <row r="25" spans="1:20" ht="28" x14ac:dyDescent="0.35">
      <c r="A25" s="88">
        <v>7254</v>
      </c>
      <c r="B25" s="146">
        <v>70982635</v>
      </c>
      <c r="C25" s="166" t="s">
        <v>47</v>
      </c>
      <c r="D25" s="184">
        <v>0</v>
      </c>
      <c r="E25" s="179">
        <v>8.4</v>
      </c>
      <c r="F25" s="172">
        <v>0</v>
      </c>
      <c r="G25" s="172">
        <v>0</v>
      </c>
      <c r="H25" s="179">
        <v>8.4</v>
      </c>
      <c r="I25" s="187">
        <v>0</v>
      </c>
      <c r="J25" s="87"/>
      <c r="K25" s="210">
        <v>0</v>
      </c>
      <c r="L25" s="212">
        <v>0</v>
      </c>
      <c r="M25" s="212">
        <v>0</v>
      </c>
      <c r="N25" s="212">
        <v>0</v>
      </c>
      <c r="O25" s="269">
        <v>0</v>
      </c>
      <c r="P25" s="222"/>
      <c r="Q25" s="87"/>
      <c r="R25" s="192">
        <f t="shared" si="1"/>
        <v>8.4</v>
      </c>
      <c r="T25" s="174"/>
    </row>
    <row r="26" spans="1:20" ht="28" x14ac:dyDescent="0.35">
      <c r="A26" s="88">
        <v>7257</v>
      </c>
      <c r="B26" s="147">
        <v>70985634</v>
      </c>
      <c r="C26" s="166" t="s">
        <v>48</v>
      </c>
      <c r="D26" s="184">
        <v>0</v>
      </c>
      <c r="E26" s="255">
        <f>12.3-0.9</f>
        <v>11.4</v>
      </c>
      <c r="F26" s="172">
        <v>0</v>
      </c>
      <c r="G26" s="172">
        <v>0</v>
      </c>
      <c r="H26" s="255">
        <f>12.3-0.9</f>
        <v>11.4</v>
      </c>
      <c r="I26" s="187">
        <v>0</v>
      </c>
      <c r="J26" s="87"/>
      <c r="K26" s="214">
        <v>0</v>
      </c>
      <c r="L26" s="215">
        <f>18-3.6</f>
        <v>14.4</v>
      </c>
      <c r="M26" s="212">
        <v>0</v>
      </c>
      <c r="N26" s="216">
        <v>0</v>
      </c>
      <c r="O26" s="268">
        <f>18-3.6</f>
        <v>14.4</v>
      </c>
      <c r="P26" s="222">
        <v>0</v>
      </c>
      <c r="Q26" s="87"/>
      <c r="R26" s="192">
        <f t="shared" si="1"/>
        <v>25.8</v>
      </c>
      <c r="T26" s="174"/>
    </row>
    <row r="27" spans="1:20" ht="28" x14ac:dyDescent="0.35">
      <c r="A27" s="88">
        <v>7259</v>
      </c>
      <c r="B27" s="146">
        <v>70998442</v>
      </c>
      <c r="C27" s="166" t="s">
        <v>49</v>
      </c>
      <c r="D27" s="184">
        <v>0</v>
      </c>
      <c r="E27" s="179">
        <v>9</v>
      </c>
      <c r="F27" s="172">
        <v>0</v>
      </c>
      <c r="G27" s="172">
        <v>0</v>
      </c>
      <c r="H27" s="179">
        <v>9</v>
      </c>
      <c r="I27" s="187">
        <v>0</v>
      </c>
      <c r="J27" s="87"/>
      <c r="K27" s="210">
        <v>0</v>
      </c>
      <c r="L27" s="211">
        <f>11.7-8.1</f>
        <v>3.5999999999999996</v>
      </c>
      <c r="M27" s="212">
        <v>0</v>
      </c>
      <c r="N27" s="212">
        <v>0</v>
      </c>
      <c r="O27" s="268">
        <f>11.7-8.1</f>
        <v>3.5999999999999996</v>
      </c>
      <c r="P27" s="222">
        <v>0</v>
      </c>
      <c r="Q27" s="87"/>
      <c r="R27" s="192">
        <f t="shared" si="1"/>
        <v>12.6</v>
      </c>
      <c r="T27" s="174"/>
    </row>
    <row r="28" spans="1:20" ht="25" x14ac:dyDescent="0.35">
      <c r="A28" s="88">
        <v>7272</v>
      </c>
      <c r="B28" s="146">
        <v>49305620</v>
      </c>
      <c r="C28" s="84" t="s">
        <v>26</v>
      </c>
      <c r="D28" s="184">
        <v>0</v>
      </c>
      <c r="E28" s="179">
        <v>4.5</v>
      </c>
      <c r="F28" s="172">
        <v>0</v>
      </c>
      <c r="G28" s="172">
        <v>0</v>
      </c>
      <c r="H28" s="179">
        <v>4.5</v>
      </c>
      <c r="I28" s="187">
        <v>0</v>
      </c>
      <c r="J28" s="87"/>
      <c r="K28" s="210">
        <v>0</v>
      </c>
      <c r="L28" s="212">
        <v>0</v>
      </c>
      <c r="M28" s="212">
        <v>0</v>
      </c>
      <c r="N28" s="212">
        <v>0</v>
      </c>
      <c r="O28" s="269">
        <v>0</v>
      </c>
      <c r="P28" s="222"/>
      <c r="Q28" s="87"/>
      <c r="R28" s="192">
        <f t="shared" si="1"/>
        <v>4.5</v>
      </c>
      <c r="T28" s="174"/>
    </row>
    <row r="29" spans="1:20" ht="25" x14ac:dyDescent="0.35">
      <c r="A29" s="88">
        <v>7274</v>
      </c>
      <c r="B29" s="146">
        <v>70890072</v>
      </c>
      <c r="C29" s="84" t="s">
        <v>50</v>
      </c>
      <c r="D29" s="184">
        <v>0</v>
      </c>
      <c r="E29" s="255">
        <f>12.6-3.9</f>
        <v>8.6999999999999993</v>
      </c>
      <c r="F29" s="172">
        <v>0</v>
      </c>
      <c r="G29" s="172">
        <v>0</v>
      </c>
      <c r="H29" s="255">
        <f>12.6-3.9</f>
        <v>8.6999999999999993</v>
      </c>
      <c r="I29" s="187">
        <v>0</v>
      </c>
      <c r="J29" s="87"/>
      <c r="K29" s="210">
        <v>0</v>
      </c>
      <c r="L29" s="211">
        <f>10.8-2.7</f>
        <v>8.1000000000000014</v>
      </c>
      <c r="M29" s="212">
        <v>0</v>
      </c>
      <c r="N29" s="212">
        <v>0</v>
      </c>
      <c r="O29" s="268">
        <f>10.8-2.7</f>
        <v>8.1000000000000014</v>
      </c>
      <c r="P29" s="222">
        <v>0</v>
      </c>
      <c r="Q29" s="87"/>
      <c r="R29" s="192">
        <f t="shared" si="1"/>
        <v>16.8</v>
      </c>
      <c r="T29" s="174"/>
    </row>
    <row r="30" spans="1:20" ht="42" x14ac:dyDescent="0.35">
      <c r="A30" s="88">
        <v>7424</v>
      </c>
      <c r="B30" s="146">
        <v>70926662</v>
      </c>
      <c r="C30" s="82" t="s">
        <v>51</v>
      </c>
      <c r="D30" s="184">
        <v>0</v>
      </c>
      <c r="E30" s="179">
        <v>24</v>
      </c>
      <c r="F30" s="172">
        <v>0</v>
      </c>
      <c r="G30" s="172">
        <v>0</v>
      </c>
      <c r="H30" s="179">
        <v>24</v>
      </c>
      <c r="I30" s="187">
        <v>0</v>
      </c>
      <c r="J30" s="87"/>
      <c r="K30" s="210">
        <v>0</v>
      </c>
      <c r="L30" s="212">
        <v>37.799999999999997</v>
      </c>
      <c r="M30" s="212">
        <v>0</v>
      </c>
      <c r="N30" s="212">
        <v>0</v>
      </c>
      <c r="O30" s="269">
        <v>37.799999999999997</v>
      </c>
      <c r="P30" s="222">
        <v>0</v>
      </c>
      <c r="Q30" s="87"/>
      <c r="R30" s="192">
        <f t="shared" si="1"/>
        <v>61.8</v>
      </c>
      <c r="T30" s="174"/>
    </row>
    <row r="31" spans="1:20" ht="28" x14ac:dyDescent="0.35">
      <c r="A31" s="88">
        <v>7426</v>
      </c>
      <c r="B31" s="146">
        <v>70932085</v>
      </c>
      <c r="C31" s="82" t="s">
        <v>20</v>
      </c>
      <c r="D31" s="176">
        <v>4.5659999999999998</v>
      </c>
      <c r="E31" s="179">
        <v>0</v>
      </c>
      <c r="F31" s="172">
        <v>1.5429999999999999</v>
      </c>
      <c r="G31" s="172">
        <v>9.0999999999999998E-2</v>
      </c>
      <c r="H31" s="179">
        <v>6.2</v>
      </c>
      <c r="I31" s="188">
        <v>4.5400000000000003E-2</v>
      </c>
      <c r="J31" s="87"/>
      <c r="K31" s="210">
        <v>36.543999999999997</v>
      </c>
      <c r="L31" s="212">
        <v>0</v>
      </c>
      <c r="M31" s="211">
        <f>12.352-0.001</f>
        <v>12.351000000000001</v>
      </c>
      <c r="N31" s="212">
        <v>0.36499999999999999</v>
      </c>
      <c r="O31" s="268">
        <f>49.261-0.001</f>
        <v>49.260000000000005</v>
      </c>
      <c r="P31" s="222">
        <v>9.0899999999999995E-2</v>
      </c>
      <c r="Q31" s="87"/>
      <c r="R31" s="192">
        <f t="shared" si="1"/>
        <v>55.460000000000008</v>
      </c>
      <c r="T31" s="174"/>
    </row>
    <row r="32" spans="1:20" x14ac:dyDescent="0.35">
      <c r="A32" s="88">
        <v>7427</v>
      </c>
      <c r="B32" s="146">
        <v>71008063</v>
      </c>
      <c r="C32" s="167" t="s">
        <v>52</v>
      </c>
      <c r="D32" s="184">
        <v>0</v>
      </c>
      <c r="E32" s="257">
        <v>4.8</v>
      </c>
      <c r="F32" s="172">
        <v>0</v>
      </c>
      <c r="G32" s="172">
        <v>0</v>
      </c>
      <c r="H32" s="257">
        <v>4.8</v>
      </c>
      <c r="I32" s="187">
        <v>0</v>
      </c>
      <c r="J32" s="87"/>
      <c r="K32" s="210">
        <v>0</v>
      </c>
      <c r="L32" s="212">
        <v>0</v>
      </c>
      <c r="M32" s="212">
        <v>0</v>
      </c>
      <c r="N32" s="212">
        <v>0</v>
      </c>
      <c r="O32" s="269">
        <v>0</v>
      </c>
      <c r="P32" s="222"/>
      <c r="Q32" s="87"/>
      <c r="R32" s="192">
        <f t="shared" si="1"/>
        <v>4.8</v>
      </c>
      <c r="T32" s="174"/>
    </row>
    <row r="33" spans="1:20" ht="28" x14ac:dyDescent="0.35">
      <c r="A33" s="88">
        <v>7447</v>
      </c>
      <c r="B33" s="146">
        <v>70987262</v>
      </c>
      <c r="C33" s="83" t="s">
        <v>53</v>
      </c>
      <c r="D33" s="176">
        <v>23.324000000000002</v>
      </c>
      <c r="E33" s="179">
        <v>0</v>
      </c>
      <c r="F33" s="172">
        <v>7.8840000000000003</v>
      </c>
      <c r="G33" s="172">
        <v>0.46600000000000003</v>
      </c>
      <c r="H33" s="179">
        <v>31.673999999999999</v>
      </c>
      <c r="I33" s="188">
        <v>4.5400000000000003E-2</v>
      </c>
      <c r="J33" s="87"/>
      <c r="K33" s="210">
        <v>46.648000000000003</v>
      </c>
      <c r="L33" s="212">
        <v>0</v>
      </c>
      <c r="M33" s="259">
        <f>15.768-1.949</f>
        <v>13.819000000000001</v>
      </c>
      <c r="N33" s="212">
        <v>0.46600000000000003</v>
      </c>
      <c r="O33" s="261">
        <f>62.882-1.949</f>
        <v>60.933</v>
      </c>
      <c r="P33" s="222">
        <v>9.0899999999999995E-2</v>
      </c>
      <c r="Q33" s="87"/>
      <c r="R33" s="192">
        <f t="shared" si="1"/>
        <v>92.606999999999999</v>
      </c>
      <c r="T33" s="174"/>
    </row>
    <row r="34" spans="1:20" ht="28" x14ac:dyDescent="0.35">
      <c r="A34" s="88">
        <v>7454</v>
      </c>
      <c r="B34" s="147">
        <v>70995397</v>
      </c>
      <c r="C34" s="83" t="s">
        <v>54</v>
      </c>
      <c r="D34" s="176">
        <v>70.2</v>
      </c>
      <c r="E34" s="179">
        <v>0</v>
      </c>
      <c r="F34" s="172">
        <v>23.728000000000002</v>
      </c>
      <c r="G34" s="172">
        <v>1.4039999999999999</v>
      </c>
      <c r="H34" s="179">
        <v>95.331999999999994</v>
      </c>
      <c r="I34" s="188">
        <v>0.16670000000000001</v>
      </c>
      <c r="J34" s="87"/>
      <c r="K34" s="210">
        <v>140.4</v>
      </c>
      <c r="L34" s="212">
        <v>0</v>
      </c>
      <c r="M34" s="260">
        <f>47.455-1.342</f>
        <v>46.113</v>
      </c>
      <c r="N34" s="212">
        <v>1.4039999999999999</v>
      </c>
      <c r="O34" s="258">
        <f>189.259-1.342</f>
        <v>187.91699999999997</v>
      </c>
      <c r="P34" s="222">
        <v>0.33329999999999999</v>
      </c>
      <c r="Q34" s="87"/>
      <c r="R34" s="192">
        <f t="shared" si="1"/>
        <v>283.24899999999997</v>
      </c>
      <c r="T34" s="174"/>
    </row>
    <row r="35" spans="1:20" x14ac:dyDescent="0.35">
      <c r="A35" s="88">
        <v>7465</v>
      </c>
      <c r="B35" s="146">
        <v>70996504</v>
      </c>
      <c r="C35" s="83" t="s">
        <v>55</v>
      </c>
      <c r="D35" s="184">
        <v>0</v>
      </c>
      <c r="E35" s="179">
        <v>2.4</v>
      </c>
      <c r="F35" s="172">
        <v>0</v>
      </c>
      <c r="G35" s="172">
        <v>0</v>
      </c>
      <c r="H35" s="179">
        <v>2.4</v>
      </c>
      <c r="I35" s="187">
        <v>0</v>
      </c>
      <c r="J35" s="87"/>
      <c r="K35" s="210">
        <v>0</v>
      </c>
      <c r="L35" s="212">
        <v>0</v>
      </c>
      <c r="M35" s="212">
        <v>0</v>
      </c>
      <c r="N35" s="212">
        <v>0</v>
      </c>
      <c r="O35" s="269">
        <v>0</v>
      </c>
      <c r="P35" s="222"/>
      <c r="Q35" s="87"/>
      <c r="R35" s="192">
        <f t="shared" si="1"/>
        <v>2.4</v>
      </c>
      <c r="T35" s="174"/>
    </row>
    <row r="36" spans="1:20" ht="28" x14ac:dyDescent="0.35">
      <c r="A36" s="88">
        <v>7467</v>
      </c>
      <c r="B36" s="146">
        <v>857611</v>
      </c>
      <c r="C36" s="83" t="s">
        <v>23</v>
      </c>
      <c r="D36" s="184">
        <v>0</v>
      </c>
      <c r="E36" s="179">
        <v>38.4</v>
      </c>
      <c r="F36" s="172">
        <v>0</v>
      </c>
      <c r="G36" s="172">
        <v>0</v>
      </c>
      <c r="H36" s="179">
        <v>38.4</v>
      </c>
      <c r="I36" s="187">
        <v>0</v>
      </c>
      <c r="J36" s="87"/>
      <c r="K36" s="210">
        <v>0</v>
      </c>
      <c r="L36" s="212">
        <v>44.1</v>
      </c>
      <c r="M36" s="212">
        <v>0</v>
      </c>
      <c r="N36" s="212">
        <v>0</v>
      </c>
      <c r="O36" s="269">
        <v>44.1</v>
      </c>
      <c r="P36" s="222">
        <v>0</v>
      </c>
      <c r="Q36" s="87"/>
      <c r="R36" s="192">
        <f t="shared" si="1"/>
        <v>82.5</v>
      </c>
      <c r="T36" s="174"/>
    </row>
    <row r="37" spans="1:20" ht="28" x14ac:dyDescent="0.35">
      <c r="A37" s="88">
        <v>7462</v>
      </c>
      <c r="B37" s="146">
        <v>70996440</v>
      </c>
      <c r="C37" s="168" t="s">
        <v>56</v>
      </c>
      <c r="D37" s="184">
        <v>0</v>
      </c>
      <c r="E37" s="257">
        <v>4.8</v>
      </c>
      <c r="F37" s="172">
        <v>0</v>
      </c>
      <c r="G37" s="172">
        <v>0</v>
      </c>
      <c r="H37" s="257">
        <v>4.8</v>
      </c>
      <c r="I37" s="187">
        <v>0</v>
      </c>
      <c r="J37" s="87"/>
      <c r="K37" s="210">
        <v>0</v>
      </c>
      <c r="L37" s="212">
        <v>0</v>
      </c>
      <c r="M37" s="212">
        <v>0</v>
      </c>
      <c r="N37" s="212">
        <v>0</v>
      </c>
      <c r="O37" s="269">
        <v>0</v>
      </c>
      <c r="P37" s="222"/>
      <c r="Q37" s="87"/>
      <c r="R37" s="192">
        <f t="shared" si="1"/>
        <v>4.8</v>
      </c>
      <c r="T37" s="174"/>
    </row>
    <row r="38" spans="1:20" ht="25" x14ac:dyDescent="0.35">
      <c r="A38" s="88">
        <v>7500</v>
      </c>
      <c r="B38" s="146">
        <v>857688</v>
      </c>
      <c r="C38" s="84" t="s">
        <v>25</v>
      </c>
      <c r="D38" s="176">
        <v>31.684000000000001</v>
      </c>
      <c r="E38" s="179">
        <v>0</v>
      </c>
      <c r="F38" s="172">
        <v>10.709</v>
      </c>
      <c r="G38" s="172">
        <v>0.63400000000000001</v>
      </c>
      <c r="H38" s="179">
        <v>43.027000000000001</v>
      </c>
      <c r="I38" s="188">
        <v>7.5800000000000006E-2</v>
      </c>
      <c r="J38" s="87"/>
      <c r="K38" s="210">
        <v>63.368000000000002</v>
      </c>
      <c r="L38" s="212">
        <v>0</v>
      </c>
      <c r="M38" s="212">
        <v>21.417999999999999</v>
      </c>
      <c r="N38" s="212">
        <v>0.63400000000000001</v>
      </c>
      <c r="O38" s="269">
        <v>85.42</v>
      </c>
      <c r="P38" s="222">
        <v>0.1515</v>
      </c>
      <c r="Q38" s="87"/>
      <c r="R38" s="192">
        <f t="shared" si="1"/>
        <v>128.447</v>
      </c>
      <c r="T38" s="174"/>
    </row>
    <row r="39" spans="1:20" ht="37.5" x14ac:dyDescent="0.35">
      <c r="A39" s="88">
        <v>7617</v>
      </c>
      <c r="B39" s="146">
        <v>75018616</v>
      </c>
      <c r="C39" s="84" t="s">
        <v>17</v>
      </c>
      <c r="D39" s="184">
        <v>0</v>
      </c>
      <c r="E39" s="255">
        <f>18-11.25</f>
        <v>6.75</v>
      </c>
      <c r="F39" s="172">
        <v>0</v>
      </c>
      <c r="G39" s="172">
        <v>0</v>
      </c>
      <c r="H39" s="255">
        <f>18-11.25</f>
        <v>6.75</v>
      </c>
      <c r="I39" s="187">
        <v>0</v>
      </c>
      <c r="J39" s="87"/>
      <c r="K39" s="210">
        <v>0</v>
      </c>
      <c r="L39" s="211">
        <f>4.8-4.8</f>
        <v>0</v>
      </c>
      <c r="M39" s="212">
        <v>0</v>
      </c>
      <c r="N39" s="212">
        <v>0</v>
      </c>
      <c r="O39" s="268">
        <f>4.8-4.8</f>
        <v>0</v>
      </c>
      <c r="P39" s="222">
        <v>0</v>
      </c>
      <c r="Q39" s="87"/>
      <c r="R39" s="192">
        <f t="shared" si="1"/>
        <v>6.75</v>
      </c>
      <c r="T39" s="174"/>
    </row>
    <row r="40" spans="1:20" x14ac:dyDescent="0.35">
      <c r="A40" s="88">
        <v>7620</v>
      </c>
      <c r="B40" s="146">
        <v>75015013</v>
      </c>
      <c r="C40" s="84" t="s">
        <v>57</v>
      </c>
      <c r="D40" s="184">
        <v>0</v>
      </c>
      <c r="E40" s="255">
        <f>19.2-4.5</f>
        <v>14.7</v>
      </c>
      <c r="F40" s="172">
        <v>0</v>
      </c>
      <c r="G40" s="172">
        <v>0</v>
      </c>
      <c r="H40" s="255">
        <f>19.2-4.5</f>
        <v>14.7</v>
      </c>
      <c r="I40" s="187">
        <v>0</v>
      </c>
      <c r="J40" s="87"/>
      <c r="K40" s="210">
        <v>0</v>
      </c>
      <c r="L40" s="211">
        <f>27.9-6.6</f>
        <v>21.299999999999997</v>
      </c>
      <c r="M40" s="212">
        <v>0</v>
      </c>
      <c r="N40" s="212">
        <v>0</v>
      </c>
      <c r="O40" s="268">
        <f>27.9-6.6</f>
        <v>21.299999999999997</v>
      </c>
      <c r="P40" s="222">
        <v>0</v>
      </c>
      <c r="Q40" s="87"/>
      <c r="R40" s="192">
        <f t="shared" si="1"/>
        <v>36</v>
      </c>
      <c r="T40" s="174"/>
    </row>
    <row r="41" spans="1:20" ht="25" x14ac:dyDescent="0.35">
      <c r="A41" s="88">
        <v>7627</v>
      </c>
      <c r="B41" s="146">
        <v>70157332</v>
      </c>
      <c r="C41" s="84" t="s">
        <v>22</v>
      </c>
      <c r="D41" s="176">
        <v>100</v>
      </c>
      <c r="E41" s="179">
        <v>0</v>
      </c>
      <c r="F41" s="172">
        <v>33.799999999999997</v>
      </c>
      <c r="G41" s="172">
        <v>2</v>
      </c>
      <c r="H41" s="179">
        <v>135.80000000000001</v>
      </c>
      <c r="I41" s="188">
        <v>0.18940000000000001</v>
      </c>
      <c r="J41" s="87"/>
      <c r="K41" s="210">
        <v>98.01</v>
      </c>
      <c r="L41" s="212">
        <v>0</v>
      </c>
      <c r="M41" s="212">
        <v>33.127000000000002</v>
      </c>
      <c r="N41" s="212">
        <v>0.98</v>
      </c>
      <c r="O41" s="269">
        <v>132.11699999999999</v>
      </c>
      <c r="P41" s="222">
        <v>0.1875</v>
      </c>
      <c r="Q41" s="87"/>
      <c r="R41" s="192">
        <f t="shared" si="1"/>
        <v>267.91700000000003</v>
      </c>
      <c r="T41" s="174"/>
    </row>
    <row r="42" spans="1:20" x14ac:dyDescent="0.35">
      <c r="A42" s="88">
        <v>7629</v>
      </c>
      <c r="B42" s="146">
        <v>60884541</v>
      </c>
      <c r="C42" s="83" t="s">
        <v>58</v>
      </c>
      <c r="D42" s="184">
        <v>0</v>
      </c>
      <c r="E42" s="255">
        <f>12.6-1.5</f>
        <v>11.1</v>
      </c>
      <c r="F42" s="172">
        <v>0</v>
      </c>
      <c r="G42" s="172">
        <v>0</v>
      </c>
      <c r="H42" s="255">
        <f>12.6-1.5</f>
        <v>11.1</v>
      </c>
      <c r="I42" s="187">
        <v>0</v>
      </c>
      <c r="J42" s="87"/>
      <c r="K42" s="214">
        <v>0</v>
      </c>
      <c r="L42" s="215">
        <f>21.6-2.7</f>
        <v>18.900000000000002</v>
      </c>
      <c r="M42" s="217">
        <v>0</v>
      </c>
      <c r="N42" s="216">
        <v>0</v>
      </c>
      <c r="O42" s="268">
        <f>21.6-2.7</f>
        <v>18.900000000000002</v>
      </c>
      <c r="P42" s="222">
        <v>0</v>
      </c>
      <c r="Q42" s="87"/>
      <c r="R42" s="192">
        <f t="shared" si="1"/>
        <v>30</v>
      </c>
      <c r="T42" s="174"/>
    </row>
    <row r="43" spans="1:20" ht="28" x14ac:dyDescent="0.35">
      <c r="A43" s="88">
        <v>7652</v>
      </c>
      <c r="B43" s="146">
        <v>75015340</v>
      </c>
      <c r="C43" s="83" t="s">
        <v>59</v>
      </c>
      <c r="D43" s="184">
        <v>0</v>
      </c>
      <c r="E43" s="179">
        <v>24</v>
      </c>
      <c r="F43" s="172">
        <v>0</v>
      </c>
      <c r="G43" s="172">
        <v>0</v>
      </c>
      <c r="H43" s="179">
        <v>24</v>
      </c>
      <c r="I43" s="187">
        <v>0</v>
      </c>
      <c r="J43" s="87"/>
      <c r="K43" s="210">
        <v>0</v>
      </c>
      <c r="L43" s="212">
        <v>36</v>
      </c>
      <c r="M43" s="212">
        <v>0</v>
      </c>
      <c r="N43" s="212">
        <v>0</v>
      </c>
      <c r="O43" s="269">
        <v>36</v>
      </c>
      <c r="P43" s="222">
        <v>0</v>
      </c>
      <c r="Q43" s="87"/>
      <c r="R43" s="192">
        <f t="shared" si="1"/>
        <v>60</v>
      </c>
      <c r="T43" s="174"/>
    </row>
    <row r="44" spans="1:20" ht="28" x14ac:dyDescent="0.35">
      <c r="A44" s="88">
        <v>7653</v>
      </c>
      <c r="B44" s="146">
        <v>75015498</v>
      </c>
      <c r="C44" s="83" t="s">
        <v>60</v>
      </c>
      <c r="D44" s="184">
        <v>0</v>
      </c>
      <c r="E44" s="179">
        <v>18</v>
      </c>
      <c r="F44" s="172">
        <v>0</v>
      </c>
      <c r="G44" s="172">
        <v>0</v>
      </c>
      <c r="H44" s="179">
        <v>18</v>
      </c>
      <c r="I44" s="187">
        <v>0</v>
      </c>
      <c r="J44" s="87"/>
      <c r="K44" s="210">
        <v>0</v>
      </c>
      <c r="L44" s="212">
        <v>39.9</v>
      </c>
      <c r="M44" s="212">
        <v>0</v>
      </c>
      <c r="N44" s="212">
        <v>0</v>
      </c>
      <c r="O44" s="269">
        <v>39.9</v>
      </c>
      <c r="P44" s="222">
        <v>0</v>
      </c>
      <c r="Q44" s="87"/>
      <c r="R44" s="192">
        <f t="shared" si="1"/>
        <v>57.9</v>
      </c>
      <c r="T44" s="174"/>
    </row>
    <row r="45" spans="1:20" ht="25" x14ac:dyDescent="0.35">
      <c r="A45" s="88">
        <v>7654</v>
      </c>
      <c r="B45" s="146">
        <v>60884835</v>
      </c>
      <c r="C45" s="84" t="s">
        <v>27</v>
      </c>
      <c r="D45" s="184">
        <v>0</v>
      </c>
      <c r="E45" s="179">
        <v>9</v>
      </c>
      <c r="F45" s="172">
        <v>0</v>
      </c>
      <c r="G45" s="172">
        <v>0</v>
      </c>
      <c r="H45" s="179">
        <v>9</v>
      </c>
      <c r="I45" s="187">
        <v>0</v>
      </c>
      <c r="J45" s="87"/>
      <c r="K45" s="210">
        <v>0</v>
      </c>
      <c r="L45" s="212">
        <v>8.25</v>
      </c>
      <c r="M45" s="212">
        <v>0</v>
      </c>
      <c r="N45" s="212">
        <v>0</v>
      </c>
      <c r="O45" s="269">
        <v>8.25</v>
      </c>
      <c r="P45" s="222">
        <v>0</v>
      </c>
      <c r="Q45" s="87"/>
      <c r="R45" s="192">
        <f t="shared" si="1"/>
        <v>17.25</v>
      </c>
      <c r="T45" s="174"/>
    </row>
    <row r="46" spans="1:20" ht="28" x14ac:dyDescent="0.35">
      <c r="A46" s="88">
        <v>7657</v>
      </c>
      <c r="B46" s="146">
        <v>70979685</v>
      </c>
      <c r="C46" s="83" t="s">
        <v>61</v>
      </c>
      <c r="D46" s="184">
        <v>0</v>
      </c>
      <c r="E46" s="179">
        <v>24</v>
      </c>
      <c r="F46" s="172">
        <v>0</v>
      </c>
      <c r="G46" s="172">
        <v>0</v>
      </c>
      <c r="H46" s="179">
        <v>24</v>
      </c>
      <c r="I46" s="187">
        <v>0</v>
      </c>
      <c r="J46" s="87"/>
      <c r="K46" s="210">
        <v>0</v>
      </c>
      <c r="L46" s="211">
        <f>48-9.5</f>
        <v>38.5</v>
      </c>
      <c r="M46" s="212">
        <v>0</v>
      </c>
      <c r="N46" s="212">
        <v>0</v>
      </c>
      <c r="O46" s="268">
        <f>48-9.5</f>
        <v>38.5</v>
      </c>
      <c r="P46" s="222">
        <v>0</v>
      </c>
      <c r="Q46" s="87"/>
      <c r="R46" s="192">
        <f t="shared" si="1"/>
        <v>62.5</v>
      </c>
      <c r="T46" s="174"/>
    </row>
    <row r="47" spans="1:20" ht="28" x14ac:dyDescent="0.35">
      <c r="A47" s="88">
        <v>7658</v>
      </c>
      <c r="B47" s="146">
        <v>70156611</v>
      </c>
      <c r="C47" s="83" t="s">
        <v>62</v>
      </c>
      <c r="D47" s="184">
        <v>0</v>
      </c>
      <c r="E47" s="179">
        <v>21</v>
      </c>
      <c r="F47" s="172">
        <v>0</v>
      </c>
      <c r="G47" s="172">
        <v>0</v>
      </c>
      <c r="H47" s="179">
        <v>21</v>
      </c>
      <c r="I47" s="187">
        <v>0</v>
      </c>
      <c r="J47" s="87"/>
      <c r="K47" s="210">
        <v>0</v>
      </c>
      <c r="L47" s="211">
        <f>40.8-1.148</f>
        <v>39.651999999999994</v>
      </c>
      <c r="M47" s="212">
        <v>0</v>
      </c>
      <c r="N47" s="212">
        <v>0</v>
      </c>
      <c r="O47" s="268">
        <f>40.8-1.148</f>
        <v>39.651999999999994</v>
      </c>
      <c r="P47" s="222">
        <v>0</v>
      </c>
      <c r="Q47" s="87"/>
      <c r="R47" s="192">
        <f t="shared" si="1"/>
        <v>60.651999999999994</v>
      </c>
      <c r="T47" s="174"/>
    </row>
    <row r="48" spans="1:20" ht="28" x14ac:dyDescent="0.35">
      <c r="A48" s="88">
        <v>7662</v>
      </c>
      <c r="B48" s="146">
        <v>75017245</v>
      </c>
      <c r="C48" s="83" t="s">
        <v>63</v>
      </c>
      <c r="D48" s="184">
        <v>0</v>
      </c>
      <c r="E48" s="179">
        <v>14.4</v>
      </c>
      <c r="F48" s="172">
        <v>0</v>
      </c>
      <c r="G48" s="172">
        <v>0</v>
      </c>
      <c r="H48" s="179">
        <v>14.4</v>
      </c>
      <c r="I48" s="187">
        <v>0</v>
      </c>
      <c r="J48" s="87"/>
      <c r="K48" s="210">
        <v>0</v>
      </c>
      <c r="L48" s="212">
        <v>23.4</v>
      </c>
      <c r="M48" s="212">
        <v>0</v>
      </c>
      <c r="N48" s="212">
        <v>0</v>
      </c>
      <c r="O48" s="269">
        <v>23.4</v>
      </c>
      <c r="P48" s="222">
        <v>0</v>
      </c>
      <c r="Q48" s="87"/>
      <c r="R48" s="192">
        <f t="shared" si="1"/>
        <v>37.799999999999997</v>
      </c>
      <c r="T48" s="174"/>
    </row>
    <row r="49" spans="1:20" ht="42" x14ac:dyDescent="0.35">
      <c r="A49" s="88">
        <v>7669</v>
      </c>
      <c r="B49" s="146">
        <v>75017261</v>
      </c>
      <c r="C49" s="85" t="s">
        <v>64</v>
      </c>
      <c r="D49" s="184">
        <v>0</v>
      </c>
      <c r="E49" s="179">
        <v>14.4</v>
      </c>
      <c r="F49" s="172">
        <v>0</v>
      </c>
      <c r="G49" s="172">
        <v>0</v>
      </c>
      <c r="H49" s="179">
        <v>14.4</v>
      </c>
      <c r="I49" s="187">
        <v>0</v>
      </c>
      <c r="J49" s="87"/>
      <c r="K49" s="210">
        <v>0</v>
      </c>
      <c r="L49" s="212">
        <v>15.6</v>
      </c>
      <c r="M49" s="212">
        <v>0</v>
      </c>
      <c r="N49" s="212">
        <v>0</v>
      </c>
      <c r="O49" s="269">
        <v>15.6</v>
      </c>
      <c r="P49" s="222">
        <v>0</v>
      </c>
      <c r="Q49" s="87"/>
      <c r="R49" s="192">
        <f t="shared" si="1"/>
        <v>30</v>
      </c>
      <c r="T49" s="174"/>
    </row>
    <row r="50" spans="1:20" ht="28" x14ac:dyDescent="0.35">
      <c r="A50" s="128">
        <v>7675</v>
      </c>
      <c r="B50" s="146">
        <v>75015421</v>
      </c>
      <c r="C50" s="168" t="s">
        <v>126</v>
      </c>
      <c r="D50" s="184">
        <v>0</v>
      </c>
      <c r="E50" s="179">
        <v>0</v>
      </c>
      <c r="F50" s="172">
        <v>0</v>
      </c>
      <c r="G50" s="172">
        <v>0</v>
      </c>
      <c r="H50" s="179">
        <v>0</v>
      </c>
      <c r="I50" s="187">
        <v>0</v>
      </c>
      <c r="J50" s="87"/>
      <c r="K50" s="210">
        <v>0</v>
      </c>
      <c r="L50" s="211">
        <f>7.8-4.65</f>
        <v>3.1499999999999995</v>
      </c>
      <c r="M50" s="212">
        <v>0</v>
      </c>
      <c r="N50" s="212">
        <v>0</v>
      </c>
      <c r="O50" s="268">
        <f>7.8-4.65</f>
        <v>3.1499999999999995</v>
      </c>
      <c r="P50" s="222">
        <v>0</v>
      </c>
      <c r="Q50" s="87"/>
      <c r="R50" s="192">
        <f t="shared" si="1"/>
        <v>3.1499999999999995</v>
      </c>
      <c r="T50" s="174"/>
    </row>
    <row r="51" spans="1:20" ht="28" x14ac:dyDescent="0.35">
      <c r="A51" s="88">
        <v>7679</v>
      </c>
      <c r="B51" s="146">
        <v>70188505</v>
      </c>
      <c r="C51" s="168" t="s">
        <v>65</v>
      </c>
      <c r="D51" s="184">
        <v>0</v>
      </c>
      <c r="E51" s="179">
        <v>3.2</v>
      </c>
      <c r="F51" s="172">
        <v>0</v>
      </c>
      <c r="G51" s="172">
        <v>0</v>
      </c>
      <c r="H51" s="179">
        <v>3.2</v>
      </c>
      <c r="I51" s="187">
        <v>0</v>
      </c>
      <c r="J51" s="87"/>
      <c r="K51" s="210">
        <v>0</v>
      </c>
      <c r="L51" s="212">
        <v>0</v>
      </c>
      <c r="M51" s="212">
        <v>0</v>
      </c>
      <c r="N51" s="212">
        <v>0</v>
      </c>
      <c r="O51" s="269">
        <v>0</v>
      </c>
      <c r="P51" s="222"/>
      <c r="Q51" s="87"/>
      <c r="R51" s="192">
        <f t="shared" ref="R51:R62" si="2">H51+O51</f>
        <v>3.2</v>
      </c>
      <c r="T51" s="174"/>
    </row>
    <row r="52" spans="1:20" ht="28" x14ac:dyDescent="0.35">
      <c r="A52" s="88">
        <v>7804</v>
      </c>
      <c r="B52" s="146">
        <v>60154721</v>
      </c>
      <c r="C52" s="83" t="s">
        <v>66</v>
      </c>
      <c r="D52" s="184">
        <v>0</v>
      </c>
      <c r="E52" s="255">
        <f>25.2-4.2</f>
        <v>21</v>
      </c>
      <c r="F52" s="172">
        <v>0</v>
      </c>
      <c r="G52" s="172">
        <v>0</v>
      </c>
      <c r="H52" s="255">
        <f>25.2-4.2</f>
        <v>21</v>
      </c>
      <c r="I52" s="187">
        <v>0</v>
      </c>
      <c r="J52" s="87"/>
      <c r="K52" s="210">
        <v>0</v>
      </c>
      <c r="L52" s="211">
        <f>21.6-2.4</f>
        <v>19.200000000000003</v>
      </c>
      <c r="M52" s="212">
        <v>0</v>
      </c>
      <c r="N52" s="212">
        <v>0</v>
      </c>
      <c r="O52" s="268">
        <f>21.6-2.4</f>
        <v>19.200000000000003</v>
      </c>
      <c r="P52" s="222">
        <v>0</v>
      </c>
      <c r="Q52" s="87"/>
      <c r="R52" s="192">
        <f t="shared" si="2"/>
        <v>40.200000000000003</v>
      </c>
      <c r="T52" s="174"/>
    </row>
    <row r="53" spans="1:20" ht="37.5" x14ac:dyDescent="0.35">
      <c r="A53" s="88">
        <v>7805</v>
      </c>
      <c r="B53" s="146">
        <v>60154730</v>
      </c>
      <c r="C53" s="169" t="s">
        <v>67</v>
      </c>
      <c r="D53" s="184">
        <v>0</v>
      </c>
      <c r="E53" s="179">
        <v>22.5</v>
      </c>
      <c r="F53" s="172">
        <v>0</v>
      </c>
      <c r="G53" s="172">
        <v>0</v>
      </c>
      <c r="H53" s="179">
        <v>22.5</v>
      </c>
      <c r="I53" s="187">
        <v>0</v>
      </c>
      <c r="J53" s="87"/>
      <c r="K53" s="210">
        <v>0</v>
      </c>
      <c r="L53" s="212">
        <v>36</v>
      </c>
      <c r="M53" s="212">
        <v>0</v>
      </c>
      <c r="N53" s="212">
        <v>0</v>
      </c>
      <c r="O53" s="269">
        <v>36</v>
      </c>
      <c r="P53" s="222">
        <v>0</v>
      </c>
      <c r="Q53" s="87"/>
      <c r="R53" s="192">
        <f t="shared" si="2"/>
        <v>58.5</v>
      </c>
      <c r="T53" s="174"/>
    </row>
    <row r="54" spans="1:20" ht="28" x14ac:dyDescent="0.35">
      <c r="A54" s="88">
        <v>7824</v>
      </c>
      <c r="B54" s="146">
        <v>75016851</v>
      </c>
      <c r="C54" s="83" t="s">
        <v>68</v>
      </c>
      <c r="D54" s="184">
        <v>0</v>
      </c>
      <c r="E54" s="179">
        <v>14.4</v>
      </c>
      <c r="F54" s="172">
        <v>0</v>
      </c>
      <c r="G54" s="172">
        <v>0</v>
      </c>
      <c r="H54" s="179">
        <v>14.4</v>
      </c>
      <c r="I54" s="187">
        <v>0</v>
      </c>
      <c r="J54" s="87"/>
      <c r="K54" s="210">
        <v>0</v>
      </c>
      <c r="L54" s="212">
        <v>0</v>
      </c>
      <c r="M54" s="212">
        <v>0</v>
      </c>
      <c r="N54" s="212">
        <v>0</v>
      </c>
      <c r="O54" s="269">
        <v>0</v>
      </c>
      <c r="P54" s="222"/>
      <c r="Q54" s="87"/>
      <c r="R54" s="192">
        <f t="shared" si="2"/>
        <v>14.4</v>
      </c>
      <c r="T54" s="174"/>
    </row>
    <row r="55" spans="1:20" ht="28" x14ac:dyDescent="0.35">
      <c r="A55" s="88">
        <v>7833</v>
      </c>
      <c r="B55" s="146">
        <v>64201121</v>
      </c>
      <c r="C55" s="83" t="s">
        <v>28</v>
      </c>
      <c r="D55" s="184">
        <v>0</v>
      </c>
      <c r="E55" s="255">
        <f>13.5-1.5</f>
        <v>12</v>
      </c>
      <c r="F55" s="172">
        <v>0</v>
      </c>
      <c r="G55" s="172">
        <v>0</v>
      </c>
      <c r="H55" s="255">
        <f>13.5-1.5</f>
        <v>12</v>
      </c>
      <c r="I55" s="187">
        <v>0</v>
      </c>
      <c r="J55" s="87"/>
      <c r="K55" s="210">
        <v>0</v>
      </c>
      <c r="L55" s="212">
        <v>23.4</v>
      </c>
      <c r="M55" s="212">
        <v>0</v>
      </c>
      <c r="N55" s="212">
        <v>0</v>
      </c>
      <c r="O55" s="269">
        <v>23.4</v>
      </c>
      <c r="P55" s="222">
        <v>0</v>
      </c>
      <c r="Q55" s="87"/>
      <c r="R55" s="192">
        <f t="shared" si="2"/>
        <v>35.4</v>
      </c>
      <c r="T55" s="174"/>
    </row>
    <row r="56" spans="1:20" ht="28" x14ac:dyDescent="0.35">
      <c r="A56" s="88">
        <v>7836</v>
      </c>
      <c r="B56" s="147">
        <v>64201147</v>
      </c>
      <c r="C56" s="83" t="s">
        <v>69</v>
      </c>
      <c r="D56" s="184">
        <v>0</v>
      </c>
      <c r="E56" s="179">
        <v>12.6</v>
      </c>
      <c r="F56" s="172">
        <v>0</v>
      </c>
      <c r="G56" s="172">
        <v>0</v>
      </c>
      <c r="H56" s="179">
        <v>12.6</v>
      </c>
      <c r="I56" s="187">
        <v>0</v>
      </c>
      <c r="J56" s="87"/>
      <c r="K56" s="210">
        <v>0</v>
      </c>
      <c r="L56" s="211">
        <f>19.5-2.1</f>
        <v>17.399999999999999</v>
      </c>
      <c r="M56" s="212">
        <v>0</v>
      </c>
      <c r="N56" s="212">
        <v>0</v>
      </c>
      <c r="O56" s="268">
        <f>19.5-2.1</f>
        <v>17.399999999999999</v>
      </c>
      <c r="P56" s="222">
        <v>0</v>
      </c>
      <c r="Q56" s="87"/>
      <c r="R56" s="192">
        <f t="shared" si="2"/>
        <v>30</v>
      </c>
      <c r="T56" s="174"/>
    </row>
    <row r="57" spans="1:20" x14ac:dyDescent="0.35">
      <c r="A57" s="88">
        <v>7847</v>
      </c>
      <c r="B57" s="146">
        <v>70988021</v>
      </c>
      <c r="C57" s="83" t="s">
        <v>70</v>
      </c>
      <c r="D57" s="184">
        <v>0</v>
      </c>
      <c r="E57" s="179">
        <v>19.2</v>
      </c>
      <c r="F57" s="172">
        <v>0</v>
      </c>
      <c r="G57" s="172">
        <v>0</v>
      </c>
      <c r="H57" s="179">
        <v>19.2</v>
      </c>
      <c r="I57" s="187">
        <v>0</v>
      </c>
      <c r="J57" s="87"/>
      <c r="K57" s="210">
        <v>0</v>
      </c>
      <c r="L57" s="212">
        <v>12</v>
      </c>
      <c r="M57" s="212">
        <v>0</v>
      </c>
      <c r="N57" s="212">
        <v>0</v>
      </c>
      <c r="O57" s="269">
        <v>12</v>
      </c>
      <c r="P57" s="222">
        <v>0</v>
      </c>
      <c r="Q57" s="87"/>
      <c r="R57" s="192">
        <f t="shared" si="2"/>
        <v>31.2</v>
      </c>
      <c r="T57" s="174"/>
    </row>
    <row r="58" spans="1:20" x14ac:dyDescent="0.35">
      <c r="A58" s="88">
        <v>7861</v>
      </c>
      <c r="B58" s="146">
        <v>49290649</v>
      </c>
      <c r="C58" s="83" t="s">
        <v>71</v>
      </c>
      <c r="D58" s="184">
        <v>0</v>
      </c>
      <c r="E58" s="179">
        <v>13</v>
      </c>
      <c r="F58" s="172">
        <v>0</v>
      </c>
      <c r="G58" s="172">
        <v>0</v>
      </c>
      <c r="H58" s="179">
        <v>13</v>
      </c>
      <c r="I58" s="187">
        <v>0</v>
      </c>
      <c r="J58" s="87"/>
      <c r="K58" s="210">
        <v>0</v>
      </c>
      <c r="L58" s="212">
        <v>21</v>
      </c>
      <c r="M58" s="212">
        <v>0</v>
      </c>
      <c r="N58" s="212">
        <v>0</v>
      </c>
      <c r="O58" s="269">
        <v>21</v>
      </c>
      <c r="P58" s="222">
        <v>0</v>
      </c>
      <c r="Q58" s="87"/>
      <c r="R58" s="192">
        <f t="shared" si="2"/>
        <v>34</v>
      </c>
      <c r="T58" s="174"/>
    </row>
    <row r="59" spans="1:20" ht="28" x14ac:dyDescent="0.35">
      <c r="A59" s="88">
        <v>7864</v>
      </c>
      <c r="B59" s="146">
        <v>75017491</v>
      </c>
      <c r="C59" s="85" t="s">
        <v>72</v>
      </c>
      <c r="D59" s="184">
        <v>0</v>
      </c>
      <c r="E59" s="179">
        <v>22.5</v>
      </c>
      <c r="F59" s="172">
        <v>0</v>
      </c>
      <c r="G59" s="172">
        <v>0</v>
      </c>
      <c r="H59" s="179">
        <v>22.5</v>
      </c>
      <c r="I59" s="187">
        <v>0</v>
      </c>
      <c r="J59" s="87"/>
      <c r="K59" s="210">
        <v>0</v>
      </c>
      <c r="L59" s="212">
        <v>30</v>
      </c>
      <c r="M59" s="212">
        <v>0</v>
      </c>
      <c r="N59" s="212">
        <v>0</v>
      </c>
      <c r="O59" s="269">
        <v>30</v>
      </c>
      <c r="P59" s="222">
        <v>0</v>
      </c>
      <c r="Q59" s="87"/>
      <c r="R59" s="192">
        <f t="shared" si="2"/>
        <v>52.5</v>
      </c>
      <c r="T59" s="174"/>
    </row>
    <row r="60" spans="1:20" ht="28" x14ac:dyDescent="0.35">
      <c r="A60" s="88">
        <v>7892</v>
      </c>
      <c r="B60" s="146">
        <v>70947163</v>
      </c>
      <c r="C60" s="82" t="s">
        <v>73</v>
      </c>
      <c r="D60" s="184">
        <v>0</v>
      </c>
      <c r="E60" s="179">
        <v>12.6</v>
      </c>
      <c r="F60" s="172">
        <v>0</v>
      </c>
      <c r="G60" s="172">
        <v>0</v>
      </c>
      <c r="H60" s="179">
        <v>12.6</v>
      </c>
      <c r="I60" s="187">
        <v>0</v>
      </c>
      <c r="J60" s="87"/>
      <c r="K60" s="210">
        <v>0</v>
      </c>
      <c r="L60" s="212">
        <v>12</v>
      </c>
      <c r="M60" s="212">
        <v>0</v>
      </c>
      <c r="N60" s="212">
        <v>0</v>
      </c>
      <c r="O60" s="269">
        <v>12</v>
      </c>
      <c r="P60" s="222">
        <v>0</v>
      </c>
      <c r="Q60" s="87"/>
      <c r="R60" s="192">
        <f t="shared" si="2"/>
        <v>24.6</v>
      </c>
      <c r="T60" s="174"/>
    </row>
    <row r="61" spans="1:20" x14ac:dyDescent="0.35">
      <c r="A61" s="88">
        <v>7893</v>
      </c>
      <c r="B61" s="146">
        <v>68247630</v>
      </c>
      <c r="C61" s="84" t="s">
        <v>29</v>
      </c>
      <c r="D61" s="184">
        <v>0</v>
      </c>
      <c r="E61" s="179">
        <v>31.2</v>
      </c>
      <c r="F61" s="172">
        <v>0</v>
      </c>
      <c r="G61" s="172">
        <v>0</v>
      </c>
      <c r="H61" s="179">
        <v>31.2</v>
      </c>
      <c r="I61" s="187">
        <v>0</v>
      </c>
      <c r="J61" s="87"/>
      <c r="K61" s="210">
        <v>0</v>
      </c>
      <c r="L61" s="211">
        <f>55.2-6.3</f>
        <v>48.900000000000006</v>
      </c>
      <c r="M61" s="212">
        <v>0</v>
      </c>
      <c r="N61" s="212">
        <v>0</v>
      </c>
      <c r="O61" s="268">
        <f>55.2-6.3</f>
        <v>48.900000000000006</v>
      </c>
      <c r="P61" s="222">
        <v>0</v>
      </c>
      <c r="Q61" s="87"/>
      <c r="R61" s="192">
        <f t="shared" si="2"/>
        <v>80.100000000000009</v>
      </c>
      <c r="T61" s="174"/>
    </row>
    <row r="62" spans="1:20" ht="28.5" thickBot="1" x14ac:dyDescent="0.4">
      <c r="A62" s="88">
        <v>7896</v>
      </c>
      <c r="B62" s="148">
        <v>75111586</v>
      </c>
      <c r="C62" s="82" t="s">
        <v>74</v>
      </c>
      <c r="D62" s="177">
        <v>32</v>
      </c>
      <c r="E62" s="180">
        <v>0</v>
      </c>
      <c r="F62" s="178">
        <v>10.816000000000001</v>
      </c>
      <c r="G62" s="178">
        <v>0.64</v>
      </c>
      <c r="H62" s="178">
        <v>43.456000000000003</v>
      </c>
      <c r="I62" s="189">
        <v>6.0600000000000001E-2</v>
      </c>
      <c r="J62" s="87"/>
      <c r="K62" s="218">
        <v>64</v>
      </c>
      <c r="L62" s="219">
        <v>0</v>
      </c>
      <c r="M62" s="219">
        <v>21.632000000000001</v>
      </c>
      <c r="N62" s="219">
        <v>0.64</v>
      </c>
      <c r="O62" s="270">
        <v>86.272000000000006</v>
      </c>
      <c r="P62" s="224">
        <v>0.1212</v>
      </c>
      <c r="Q62" s="87"/>
      <c r="R62" s="193">
        <f t="shared" si="2"/>
        <v>129.72800000000001</v>
      </c>
      <c r="T62" s="174"/>
    </row>
    <row r="63" spans="1:20" x14ac:dyDescent="0.35">
      <c r="E63" s="174"/>
      <c r="K63" s="228"/>
      <c r="L63" s="228"/>
      <c r="M63" s="228"/>
      <c r="N63" s="228"/>
      <c r="O63" s="228"/>
    </row>
    <row r="64" spans="1:20" x14ac:dyDescent="0.35">
      <c r="D64" s="174">
        <f>SUM(D4:D62)</f>
        <v>446.15900000000005</v>
      </c>
      <c r="E64" s="174">
        <f t="shared" ref="E64:I64" si="3">SUM(E4:E62)</f>
        <v>668.95</v>
      </c>
      <c r="F64">
        <f t="shared" si="3"/>
        <v>150.80199999999999</v>
      </c>
      <c r="G64">
        <f t="shared" si="3"/>
        <v>8.9230000000000018</v>
      </c>
      <c r="H64">
        <f t="shared" si="3"/>
        <v>1274.8340000000001</v>
      </c>
      <c r="I64">
        <f t="shared" si="3"/>
        <v>0.95450000000000002</v>
      </c>
      <c r="K64" s="228">
        <f t="shared" ref="K64:P64" si="4">SUM(K4:K63)</f>
        <v>660.05700000000002</v>
      </c>
      <c r="L64" s="228">
        <f t="shared" si="4"/>
        <v>855.30200000000002</v>
      </c>
      <c r="M64" s="228">
        <f t="shared" si="4"/>
        <v>219.80700000000002</v>
      </c>
      <c r="N64" s="228">
        <f t="shared" si="4"/>
        <v>6.5990000000000011</v>
      </c>
      <c r="O64" s="228">
        <f t="shared" si="4"/>
        <v>1741.7650000000003</v>
      </c>
      <c r="P64">
        <f t="shared" si="4"/>
        <v>1.4376</v>
      </c>
      <c r="R64">
        <f>SUM(R4:R63)</f>
        <v>3016.5989999999997</v>
      </c>
    </row>
    <row r="66" spans="9:9" x14ac:dyDescent="0.35">
      <c r="I66" s="173"/>
    </row>
  </sheetData>
  <customSheetViews>
    <customSheetView guid="{A687C76D-0A25-4B23-B774-83E5858950A5}">
      <pane xSplit="3" ySplit="3" topLeftCell="D51" activePane="bottomRight" state="frozen"/>
      <selection pane="bottomRight" activeCell="R69" sqref="R69"/>
      <pageMargins left="0.7" right="0.7" top="0.78740157499999996" bottom="0.78740157499999996" header="0.3" footer="0.3"/>
    </customSheetView>
    <customSheetView guid="{C95316B6-A37E-4534-B810-A6A18951EFBB}">
      <pane xSplit="3" ySplit="3" topLeftCell="D12" activePane="bottomRight" state="frozen"/>
      <selection pane="bottomRight" activeCell="A23" sqref="A23:B23"/>
      <pageMargins left="0.7" right="0.7" top="0.78740157499999996" bottom="0.78740157499999996" header="0.3" footer="0.3"/>
    </customSheetView>
    <customSheetView guid="{EE87481B-D9DE-4AE9-91B4-0C77BAFFD3EF}">
      <pane xSplit="3" ySplit="3" topLeftCell="D4" activePane="bottomRight" state="frozen"/>
      <selection pane="bottomRight" sqref="A1:F1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6F24C-87DB-4E24-BEA0-0ADCB6E7A1FB}">
  <dimension ref="A1:R74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51" sqref="A51:XFD51"/>
    </sheetView>
  </sheetViews>
  <sheetFormatPr defaultRowHeight="14.5" x14ac:dyDescent="0.35"/>
  <cols>
    <col min="1" max="1" width="5.6328125" customWidth="1"/>
    <col min="2" max="2" width="10.36328125" customWidth="1"/>
    <col min="3" max="3" width="33.6328125" customWidth="1"/>
    <col min="4" max="4" width="12.6328125" customWidth="1"/>
    <col min="5" max="5" width="11" customWidth="1"/>
    <col min="6" max="6" width="11.54296875" customWidth="1"/>
    <col min="7" max="7" width="10.36328125" customWidth="1"/>
    <col min="8" max="8" width="12.54296875" customWidth="1"/>
    <col min="10" max="10" width="3.08984375" customWidth="1"/>
    <col min="11" max="11" width="9.90625" customWidth="1"/>
    <col min="12" max="12" width="9.08984375" customWidth="1"/>
    <col min="14" max="14" width="8.08984375" customWidth="1"/>
    <col min="15" max="15" width="12" customWidth="1"/>
    <col min="17" max="17" width="3.6328125" customWidth="1"/>
    <col min="18" max="18" width="12.453125" customWidth="1"/>
  </cols>
  <sheetData>
    <row r="1" spans="1:18" ht="15.5" x14ac:dyDescent="0.35">
      <c r="A1" s="9" t="s">
        <v>152</v>
      </c>
    </row>
    <row r="2" spans="1:18" ht="15" thickBot="1" x14ac:dyDescent="0.4">
      <c r="A2" s="10" t="s">
        <v>8</v>
      </c>
      <c r="D2" t="s">
        <v>14</v>
      </c>
      <c r="K2" t="s">
        <v>15</v>
      </c>
      <c r="R2" s="71" t="s">
        <v>13</v>
      </c>
    </row>
    <row r="3" spans="1:18" ht="26.5" thickBot="1" x14ac:dyDescent="0.4">
      <c r="A3" s="1" t="s">
        <v>0</v>
      </c>
      <c r="B3" s="2" t="s">
        <v>9</v>
      </c>
      <c r="C3" s="30" t="s">
        <v>1</v>
      </c>
      <c r="D3" s="11" t="s">
        <v>2</v>
      </c>
      <c r="E3" s="12" t="s">
        <v>3</v>
      </c>
      <c r="F3" s="12" t="s">
        <v>4</v>
      </c>
      <c r="G3" s="13" t="s">
        <v>5</v>
      </c>
      <c r="H3" s="14" t="s">
        <v>6</v>
      </c>
      <c r="I3" s="15" t="s">
        <v>7</v>
      </c>
      <c r="K3" s="4" t="s">
        <v>2</v>
      </c>
      <c r="L3" s="5" t="s">
        <v>3</v>
      </c>
      <c r="M3" s="5" t="s">
        <v>4</v>
      </c>
      <c r="N3" s="6" t="s">
        <v>5</v>
      </c>
      <c r="O3" s="7" t="s">
        <v>6</v>
      </c>
      <c r="P3" s="8" t="s">
        <v>7</v>
      </c>
      <c r="R3" s="7" t="s">
        <v>6</v>
      </c>
    </row>
    <row r="4" spans="1:18" ht="28" x14ac:dyDescent="0.35">
      <c r="A4" s="26">
        <v>7002</v>
      </c>
      <c r="B4" s="26">
        <v>71000755</v>
      </c>
      <c r="C4" s="101" t="s">
        <v>80</v>
      </c>
      <c r="D4" s="45">
        <v>0</v>
      </c>
      <c r="E4" s="46">
        <v>4.8</v>
      </c>
      <c r="F4" s="47">
        <v>0</v>
      </c>
      <c r="G4" s="48">
        <v>0</v>
      </c>
      <c r="H4" s="49">
        <v>4.8</v>
      </c>
      <c r="I4" s="50">
        <v>0</v>
      </c>
      <c r="K4" s="194">
        <v>0</v>
      </c>
      <c r="L4" s="34">
        <v>0</v>
      </c>
      <c r="M4" s="32">
        <v>0</v>
      </c>
      <c r="N4" s="38">
        <v>0</v>
      </c>
      <c r="O4" s="42">
        <v>0</v>
      </c>
      <c r="P4" s="68">
        <v>0</v>
      </c>
      <c r="R4" s="17">
        <f>H4+O4</f>
        <v>4.8</v>
      </c>
    </row>
    <row r="5" spans="1:18" ht="28" x14ac:dyDescent="0.35">
      <c r="A5" s="23">
        <v>7007</v>
      </c>
      <c r="B5" s="23">
        <v>71000747</v>
      </c>
      <c r="C5" s="101" t="s">
        <v>81</v>
      </c>
      <c r="D5" s="51">
        <v>0</v>
      </c>
      <c r="E5" s="52">
        <v>4.8</v>
      </c>
      <c r="F5" s="53">
        <v>0</v>
      </c>
      <c r="G5" s="54">
        <v>0</v>
      </c>
      <c r="H5" s="55">
        <v>4.8</v>
      </c>
      <c r="I5" s="56">
        <v>0</v>
      </c>
      <c r="K5" s="197">
        <v>0</v>
      </c>
      <c r="L5" s="33">
        <v>0</v>
      </c>
      <c r="M5" s="35">
        <v>0</v>
      </c>
      <c r="N5" s="39">
        <v>0</v>
      </c>
      <c r="O5" s="43">
        <v>0</v>
      </c>
      <c r="P5" s="69">
        <v>0</v>
      </c>
      <c r="R5" s="18">
        <f t="shared" ref="R5:R73" si="0">H5+O5</f>
        <v>4.8</v>
      </c>
    </row>
    <row r="6" spans="1:18" ht="28" x14ac:dyDescent="0.35">
      <c r="A6" s="23">
        <v>7009</v>
      </c>
      <c r="B6" s="23">
        <v>71000640</v>
      </c>
      <c r="C6" s="101" t="s">
        <v>82</v>
      </c>
      <c r="D6" s="51">
        <v>0</v>
      </c>
      <c r="E6" s="52">
        <v>4.2</v>
      </c>
      <c r="F6" s="53">
        <v>0</v>
      </c>
      <c r="G6" s="54">
        <v>0</v>
      </c>
      <c r="H6" s="55">
        <v>4.2</v>
      </c>
      <c r="I6" s="56">
        <v>0</v>
      </c>
      <c r="K6" s="58">
        <v>0</v>
      </c>
      <c r="L6" s="35">
        <v>0</v>
      </c>
      <c r="M6" s="33">
        <v>0</v>
      </c>
      <c r="N6" s="40">
        <v>0</v>
      </c>
      <c r="O6" s="43">
        <v>0</v>
      </c>
      <c r="P6" s="69">
        <v>0</v>
      </c>
      <c r="R6" s="18">
        <f t="shared" si="0"/>
        <v>4.2</v>
      </c>
    </row>
    <row r="7" spans="1:18" ht="28" x14ac:dyDescent="0.35">
      <c r="A7" s="23">
        <v>7052</v>
      </c>
      <c r="B7" s="23">
        <v>75019001</v>
      </c>
      <c r="C7" s="102" t="s">
        <v>83</v>
      </c>
      <c r="D7" s="51">
        <v>24</v>
      </c>
      <c r="E7" s="52">
        <v>0</v>
      </c>
      <c r="F7" s="53">
        <v>8.1120000000000001</v>
      </c>
      <c r="G7" s="54">
        <v>0.24</v>
      </c>
      <c r="H7" s="55">
        <v>32.351999999999997</v>
      </c>
      <c r="I7" s="56">
        <v>7.5700000000000003E-2</v>
      </c>
      <c r="K7" s="197">
        <v>52.8</v>
      </c>
      <c r="L7" s="33">
        <v>0</v>
      </c>
      <c r="M7" s="35">
        <v>17.846</v>
      </c>
      <c r="N7" s="39">
        <v>0.52800000000000002</v>
      </c>
      <c r="O7" s="43">
        <v>71.174000000000007</v>
      </c>
      <c r="P7" s="69">
        <v>0.1515</v>
      </c>
      <c r="R7" s="18">
        <f t="shared" si="0"/>
        <v>103.52600000000001</v>
      </c>
    </row>
    <row r="8" spans="1:18" ht="29" x14ac:dyDescent="0.35">
      <c r="A8" s="23">
        <v>7055</v>
      </c>
      <c r="B8" s="23">
        <v>49333852</v>
      </c>
      <c r="C8" s="103" t="s">
        <v>84</v>
      </c>
      <c r="D8" s="51">
        <v>0</v>
      </c>
      <c r="E8" s="52">
        <v>19.8</v>
      </c>
      <c r="F8" s="53">
        <v>0</v>
      </c>
      <c r="G8" s="54">
        <v>0</v>
      </c>
      <c r="H8" s="55">
        <v>19.8</v>
      </c>
      <c r="I8" s="56">
        <v>0</v>
      </c>
      <c r="K8" s="197">
        <v>0</v>
      </c>
      <c r="L8" s="33">
        <v>23.76</v>
      </c>
      <c r="M8" s="35">
        <v>0</v>
      </c>
      <c r="N8" s="39">
        <v>0</v>
      </c>
      <c r="O8" s="43">
        <v>23.76</v>
      </c>
      <c r="P8" s="69">
        <v>0</v>
      </c>
      <c r="R8" s="18">
        <f t="shared" si="0"/>
        <v>43.56</v>
      </c>
    </row>
    <row r="9" spans="1:18" ht="29" x14ac:dyDescent="0.35">
      <c r="A9" s="27">
        <v>7056</v>
      </c>
      <c r="B9" s="23">
        <v>69172366</v>
      </c>
      <c r="C9" s="104" t="s">
        <v>34</v>
      </c>
      <c r="D9" s="51">
        <v>96</v>
      </c>
      <c r="E9" s="52">
        <v>28.8</v>
      </c>
      <c r="F9" s="53">
        <v>32.448</v>
      </c>
      <c r="G9" s="54">
        <v>0.96</v>
      </c>
      <c r="H9" s="55">
        <v>158.208</v>
      </c>
      <c r="I9" s="57">
        <v>0.182</v>
      </c>
      <c r="K9" s="197">
        <v>144</v>
      </c>
      <c r="L9" s="33">
        <v>47.52</v>
      </c>
      <c r="M9" s="35">
        <v>48.671999999999997</v>
      </c>
      <c r="N9" s="39">
        <v>1.44</v>
      </c>
      <c r="O9" s="43">
        <v>241.63200000000001</v>
      </c>
      <c r="P9" s="69">
        <v>0.27279999999999999</v>
      </c>
      <c r="R9" s="18">
        <f t="shared" si="0"/>
        <v>399.84000000000003</v>
      </c>
    </row>
    <row r="10" spans="1:18" ht="28" x14ac:dyDescent="0.35">
      <c r="A10" s="27">
        <v>7057</v>
      </c>
      <c r="B10" s="27">
        <v>62694774</v>
      </c>
      <c r="C10" s="102" t="s">
        <v>85</v>
      </c>
      <c r="D10" s="51">
        <v>0</v>
      </c>
      <c r="E10" s="52">
        <v>16.8</v>
      </c>
      <c r="F10" s="53">
        <v>0</v>
      </c>
      <c r="G10" s="54">
        <v>0</v>
      </c>
      <c r="H10" s="55">
        <v>16.8</v>
      </c>
      <c r="I10" s="57">
        <v>0</v>
      </c>
      <c r="K10" s="197">
        <v>0</v>
      </c>
      <c r="L10" s="33">
        <v>29.7</v>
      </c>
      <c r="M10" s="35">
        <v>0</v>
      </c>
      <c r="N10" s="39">
        <v>0</v>
      </c>
      <c r="O10" s="43">
        <v>29.7</v>
      </c>
      <c r="P10" s="69">
        <v>0</v>
      </c>
      <c r="R10" s="18">
        <f t="shared" si="0"/>
        <v>46.5</v>
      </c>
    </row>
    <row r="11" spans="1:18" ht="28" x14ac:dyDescent="0.35">
      <c r="A11" s="27">
        <v>7058</v>
      </c>
      <c r="B11" s="27">
        <v>62693123</v>
      </c>
      <c r="C11" s="102" t="s">
        <v>35</v>
      </c>
      <c r="D11" s="51">
        <v>0</v>
      </c>
      <c r="E11" s="52">
        <v>33.6</v>
      </c>
      <c r="F11" s="53">
        <v>0</v>
      </c>
      <c r="G11" s="54">
        <v>0</v>
      </c>
      <c r="H11" s="55">
        <v>33.6</v>
      </c>
      <c r="I11" s="57">
        <v>0</v>
      </c>
      <c r="K11" s="197">
        <v>0</v>
      </c>
      <c r="L11" s="33">
        <v>31.68</v>
      </c>
      <c r="M11" s="35">
        <v>0</v>
      </c>
      <c r="N11" s="39">
        <v>0</v>
      </c>
      <c r="O11" s="43">
        <v>31.68</v>
      </c>
      <c r="P11" s="69">
        <v>0</v>
      </c>
      <c r="R11" s="18">
        <f t="shared" si="0"/>
        <v>65.28</v>
      </c>
    </row>
    <row r="12" spans="1:18" ht="29" x14ac:dyDescent="0.35">
      <c r="A12" s="27">
        <v>7060</v>
      </c>
      <c r="B12" s="27">
        <v>62060422</v>
      </c>
      <c r="C12" s="104" t="s">
        <v>36</v>
      </c>
      <c r="D12" s="51">
        <v>0</v>
      </c>
      <c r="E12" s="52">
        <v>7.2</v>
      </c>
      <c r="F12" s="53">
        <v>0</v>
      </c>
      <c r="G12" s="54">
        <v>0</v>
      </c>
      <c r="H12" s="55">
        <v>7.2</v>
      </c>
      <c r="I12" s="57">
        <v>0</v>
      </c>
      <c r="K12" s="197">
        <v>0</v>
      </c>
      <c r="L12" s="33">
        <v>4.62</v>
      </c>
      <c r="M12" s="35">
        <v>0</v>
      </c>
      <c r="N12" s="39">
        <v>0</v>
      </c>
      <c r="O12" s="43">
        <v>4.62</v>
      </c>
      <c r="P12" s="69">
        <v>0</v>
      </c>
      <c r="R12" s="18">
        <f t="shared" si="0"/>
        <v>11.82</v>
      </c>
    </row>
    <row r="13" spans="1:18" ht="43.5" x14ac:dyDescent="0.35">
      <c r="A13" s="27">
        <v>7061</v>
      </c>
      <c r="B13" s="27">
        <v>70886083</v>
      </c>
      <c r="C13" s="104" t="s">
        <v>37</v>
      </c>
      <c r="D13" s="51">
        <v>0</v>
      </c>
      <c r="E13" s="52">
        <v>32.4</v>
      </c>
      <c r="F13" s="53">
        <v>0</v>
      </c>
      <c r="G13" s="54">
        <v>0</v>
      </c>
      <c r="H13" s="55">
        <v>32.4</v>
      </c>
      <c r="I13" s="57">
        <v>0</v>
      </c>
      <c r="K13" s="197">
        <v>0</v>
      </c>
      <c r="L13" s="33">
        <v>56.43</v>
      </c>
      <c r="M13" s="35">
        <v>0</v>
      </c>
      <c r="N13" s="39">
        <v>0</v>
      </c>
      <c r="O13" s="43">
        <v>56.43</v>
      </c>
      <c r="P13" s="69">
        <v>0</v>
      </c>
      <c r="R13" s="18">
        <f t="shared" si="0"/>
        <v>88.83</v>
      </c>
    </row>
    <row r="14" spans="1:18" ht="29" x14ac:dyDescent="0.35">
      <c r="A14" s="27">
        <v>7062</v>
      </c>
      <c r="B14" s="27">
        <v>62695177</v>
      </c>
      <c r="C14" s="104" t="s">
        <v>18</v>
      </c>
      <c r="D14" s="51">
        <v>23.335000000000001</v>
      </c>
      <c r="E14" s="52">
        <v>0</v>
      </c>
      <c r="F14" s="53">
        <v>7.8869999999999996</v>
      </c>
      <c r="G14" s="54">
        <v>0.23300000000000001</v>
      </c>
      <c r="H14" s="55">
        <v>31.454999999999998</v>
      </c>
      <c r="I14" s="57">
        <v>4.5499999999999999E-2</v>
      </c>
      <c r="K14" s="197">
        <v>49.951999999999998</v>
      </c>
      <c r="L14" s="33">
        <v>0</v>
      </c>
      <c r="M14" s="35">
        <v>16.884</v>
      </c>
      <c r="N14" s="39">
        <v>0.5</v>
      </c>
      <c r="O14" s="43">
        <v>67.335999999999999</v>
      </c>
      <c r="P14" s="69">
        <v>9.0899999999999995E-2</v>
      </c>
      <c r="R14" s="18">
        <f t="shared" si="0"/>
        <v>98.790999999999997</v>
      </c>
    </row>
    <row r="15" spans="1:18" ht="29" x14ac:dyDescent="0.35">
      <c r="A15" s="27">
        <v>7065</v>
      </c>
      <c r="B15" s="27">
        <v>70886091</v>
      </c>
      <c r="C15" s="104" t="s">
        <v>38</v>
      </c>
      <c r="D15" s="51">
        <v>0</v>
      </c>
      <c r="E15" s="129">
        <f>21.6-6</f>
        <v>15.600000000000001</v>
      </c>
      <c r="F15" s="53">
        <v>0</v>
      </c>
      <c r="G15" s="54">
        <v>0</v>
      </c>
      <c r="H15" s="55">
        <v>15.6</v>
      </c>
      <c r="I15" s="57">
        <v>0</v>
      </c>
      <c r="K15" s="197">
        <v>0</v>
      </c>
      <c r="L15" s="33">
        <v>36</v>
      </c>
      <c r="M15" s="35">
        <v>0</v>
      </c>
      <c r="N15" s="39">
        <v>0</v>
      </c>
      <c r="O15" s="43">
        <v>36</v>
      </c>
      <c r="P15" s="69">
        <v>0</v>
      </c>
      <c r="R15" s="18">
        <f t="shared" si="0"/>
        <v>51.6</v>
      </c>
    </row>
    <row r="16" spans="1:18" ht="28" x14ac:dyDescent="0.35">
      <c r="A16" s="27">
        <v>7066</v>
      </c>
      <c r="B16" s="27">
        <v>62692755</v>
      </c>
      <c r="C16" s="102" t="s">
        <v>39</v>
      </c>
      <c r="D16" s="51">
        <v>120</v>
      </c>
      <c r="E16" s="52">
        <v>0</v>
      </c>
      <c r="F16" s="53">
        <v>40.56</v>
      </c>
      <c r="G16" s="54">
        <v>1.2</v>
      </c>
      <c r="H16" s="55">
        <v>161.76</v>
      </c>
      <c r="I16" s="57">
        <v>0.2273</v>
      </c>
      <c r="K16" s="197">
        <v>256</v>
      </c>
      <c r="L16" s="33">
        <v>0</v>
      </c>
      <c r="M16" s="35">
        <v>86.528000000000006</v>
      </c>
      <c r="N16" s="39">
        <v>2.56</v>
      </c>
      <c r="O16" s="43">
        <v>345.08800000000002</v>
      </c>
      <c r="P16" s="69">
        <v>0.45450000000000002</v>
      </c>
      <c r="R16" s="18">
        <f t="shared" si="0"/>
        <v>506.84800000000001</v>
      </c>
    </row>
    <row r="17" spans="1:18" ht="28" x14ac:dyDescent="0.35">
      <c r="A17" s="27">
        <v>7069</v>
      </c>
      <c r="B17" s="27">
        <v>62694863</v>
      </c>
      <c r="C17" s="102" t="s">
        <v>86</v>
      </c>
      <c r="D17" s="51">
        <v>19.09</v>
      </c>
      <c r="E17" s="52">
        <v>0</v>
      </c>
      <c r="F17" s="53">
        <v>6.452</v>
      </c>
      <c r="G17" s="54">
        <v>0.19</v>
      </c>
      <c r="H17" s="55">
        <v>25.731999999999999</v>
      </c>
      <c r="I17" s="57">
        <v>6.0600000000000001E-2</v>
      </c>
      <c r="K17" s="197">
        <v>52.143999999999998</v>
      </c>
      <c r="L17" s="33">
        <v>0</v>
      </c>
      <c r="M17" s="35">
        <v>17.625</v>
      </c>
      <c r="N17" s="39">
        <v>0.52100000000000002</v>
      </c>
      <c r="O17" s="43">
        <v>70.290000000000006</v>
      </c>
      <c r="P17" s="69">
        <v>0.1212</v>
      </c>
      <c r="R17" s="18">
        <f t="shared" si="0"/>
        <v>96.022000000000006</v>
      </c>
    </row>
    <row r="18" spans="1:18" ht="29" x14ac:dyDescent="0.35">
      <c r="A18" s="27">
        <v>7074</v>
      </c>
      <c r="B18" s="27">
        <v>62695398</v>
      </c>
      <c r="C18" s="104" t="s">
        <v>40</v>
      </c>
      <c r="D18" s="51">
        <v>0</v>
      </c>
      <c r="E18" s="52">
        <v>0</v>
      </c>
      <c r="F18" s="53">
        <v>0</v>
      </c>
      <c r="G18" s="54">
        <v>0</v>
      </c>
      <c r="H18" s="55">
        <v>0</v>
      </c>
      <c r="I18" s="57">
        <v>0</v>
      </c>
      <c r="K18" s="197">
        <v>0</v>
      </c>
      <c r="L18" s="33">
        <v>0</v>
      </c>
      <c r="M18" s="35">
        <v>0</v>
      </c>
      <c r="N18" s="39">
        <v>0</v>
      </c>
      <c r="O18" s="43">
        <v>0</v>
      </c>
      <c r="P18" s="69">
        <v>0</v>
      </c>
      <c r="R18" s="18">
        <f t="shared" si="0"/>
        <v>0</v>
      </c>
    </row>
    <row r="19" spans="1:18" ht="43.5" x14ac:dyDescent="0.35">
      <c r="A19" s="27">
        <v>7078</v>
      </c>
      <c r="B19" s="27">
        <v>70987955</v>
      </c>
      <c r="C19" s="104" t="s">
        <v>87</v>
      </c>
      <c r="D19" s="51">
        <v>0</v>
      </c>
      <c r="E19" s="52">
        <v>0</v>
      </c>
      <c r="F19" s="53">
        <v>0</v>
      </c>
      <c r="G19" s="54">
        <v>0</v>
      </c>
      <c r="H19" s="55">
        <v>0</v>
      </c>
      <c r="I19" s="57">
        <v>0</v>
      </c>
      <c r="K19" s="197">
        <v>0</v>
      </c>
      <c r="L19" s="33">
        <v>0</v>
      </c>
      <c r="M19" s="35">
        <v>0</v>
      </c>
      <c r="N19" s="39">
        <v>0</v>
      </c>
      <c r="O19" s="43">
        <v>0</v>
      </c>
      <c r="P19" s="69">
        <v>0</v>
      </c>
      <c r="R19" s="18">
        <f t="shared" si="0"/>
        <v>0</v>
      </c>
    </row>
    <row r="20" spans="1:18" ht="28" x14ac:dyDescent="0.35">
      <c r="A20" s="24">
        <v>7079</v>
      </c>
      <c r="B20" s="24">
        <v>69172552</v>
      </c>
      <c r="C20" s="102" t="s">
        <v>88</v>
      </c>
      <c r="D20" s="58">
        <v>0</v>
      </c>
      <c r="E20" s="33">
        <v>0</v>
      </c>
      <c r="F20" s="33">
        <v>0</v>
      </c>
      <c r="G20" s="40">
        <v>0</v>
      </c>
      <c r="H20" s="43">
        <v>0</v>
      </c>
      <c r="I20" s="59">
        <v>0</v>
      </c>
      <c r="K20" s="58">
        <v>0</v>
      </c>
      <c r="L20" s="35">
        <v>0</v>
      </c>
      <c r="M20" s="33">
        <v>0</v>
      </c>
      <c r="N20" s="40">
        <v>0</v>
      </c>
      <c r="O20" s="43">
        <v>0</v>
      </c>
      <c r="P20" s="69">
        <v>0</v>
      </c>
      <c r="R20" s="18">
        <f t="shared" si="0"/>
        <v>0</v>
      </c>
    </row>
    <row r="21" spans="1:18" ht="29" x14ac:dyDescent="0.35">
      <c r="A21" s="23">
        <v>7080</v>
      </c>
      <c r="B21" s="23">
        <v>62690973</v>
      </c>
      <c r="C21" s="103" t="s">
        <v>89</v>
      </c>
      <c r="D21" s="58">
        <v>0</v>
      </c>
      <c r="E21" s="33">
        <v>32.4</v>
      </c>
      <c r="F21" s="33">
        <v>0</v>
      </c>
      <c r="G21" s="40">
        <v>0</v>
      </c>
      <c r="H21" s="43">
        <v>32.4</v>
      </c>
      <c r="I21" s="59">
        <v>0</v>
      </c>
      <c r="K21" s="229">
        <v>0</v>
      </c>
      <c r="L21" s="230">
        <v>0</v>
      </c>
      <c r="M21" s="229">
        <v>0</v>
      </c>
      <c r="N21" s="231">
        <v>0</v>
      </c>
      <c r="O21" s="229">
        <v>0</v>
      </c>
      <c r="P21" s="69">
        <v>0</v>
      </c>
      <c r="R21" s="18">
        <f t="shared" si="0"/>
        <v>32.4</v>
      </c>
    </row>
    <row r="22" spans="1:18" ht="42" x14ac:dyDescent="0.35">
      <c r="A22" s="31">
        <v>7100</v>
      </c>
      <c r="B22" s="23">
        <v>75041511</v>
      </c>
      <c r="C22" s="102" t="s">
        <v>41</v>
      </c>
      <c r="D22" s="51">
        <v>0</v>
      </c>
      <c r="E22" s="129">
        <f>36-2.1</f>
        <v>33.9</v>
      </c>
      <c r="F22" s="52">
        <v>0</v>
      </c>
      <c r="G22" s="60">
        <v>0</v>
      </c>
      <c r="H22" s="55">
        <v>33.9</v>
      </c>
      <c r="I22" s="56">
        <v>0</v>
      </c>
      <c r="K22" s="229">
        <v>0</v>
      </c>
      <c r="L22" s="232">
        <v>82.83</v>
      </c>
      <c r="M22" s="229">
        <v>0</v>
      </c>
      <c r="N22" s="231">
        <v>0</v>
      </c>
      <c r="O22" s="233">
        <v>82.83</v>
      </c>
      <c r="P22" s="69">
        <v>0</v>
      </c>
      <c r="R22" s="18">
        <f t="shared" si="0"/>
        <v>116.72999999999999</v>
      </c>
    </row>
    <row r="23" spans="1:18" ht="29" x14ac:dyDescent="0.35">
      <c r="A23" s="27">
        <v>7085</v>
      </c>
      <c r="B23" s="23">
        <v>62690965</v>
      </c>
      <c r="C23" s="105" t="s">
        <v>24</v>
      </c>
      <c r="D23" s="129">
        <f>36-2.529</f>
        <v>33.471000000000004</v>
      </c>
      <c r="E23" s="52">
        <v>0</v>
      </c>
      <c r="F23" s="130">
        <f>12.168-0.855</f>
        <v>11.312999999999999</v>
      </c>
      <c r="G23" s="129">
        <f>0.36-0.025</f>
        <v>0.33499999999999996</v>
      </c>
      <c r="H23" s="55">
        <v>45.119</v>
      </c>
      <c r="I23" s="226">
        <f>0.0756-0.00531</f>
        <v>7.0290000000000005E-2</v>
      </c>
      <c r="K23" s="197">
        <v>144</v>
      </c>
      <c r="L23" s="33">
        <v>0</v>
      </c>
      <c r="M23" s="35">
        <v>48.671999999999997</v>
      </c>
      <c r="N23" s="39">
        <v>1.44</v>
      </c>
      <c r="O23" s="43">
        <v>194.11199999999999</v>
      </c>
      <c r="P23" s="69">
        <v>0.30299999999999999</v>
      </c>
      <c r="R23" s="18">
        <f t="shared" si="0"/>
        <v>239.23099999999999</v>
      </c>
    </row>
    <row r="24" spans="1:18" ht="29" x14ac:dyDescent="0.35">
      <c r="A24" s="31">
        <v>7088</v>
      </c>
      <c r="B24" s="23">
        <v>75015692</v>
      </c>
      <c r="C24" s="103" t="s">
        <v>43</v>
      </c>
      <c r="D24" s="51">
        <v>0</v>
      </c>
      <c r="E24" s="130">
        <f>12-7.25</f>
        <v>4.75</v>
      </c>
      <c r="F24" s="52">
        <v>0</v>
      </c>
      <c r="G24" s="60">
        <v>0</v>
      </c>
      <c r="H24" s="55">
        <v>4.75</v>
      </c>
      <c r="I24" s="56">
        <v>0</v>
      </c>
      <c r="K24" s="197">
        <v>0</v>
      </c>
      <c r="L24" s="33">
        <v>18</v>
      </c>
      <c r="M24" s="35">
        <v>0</v>
      </c>
      <c r="N24" s="39">
        <v>0</v>
      </c>
      <c r="O24" s="43">
        <v>18</v>
      </c>
      <c r="P24" s="69">
        <v>0</v>
      </c>
      <c r="R24" s="18">
        <f t="shared" si="0"/>
        <v>22.75</v>
      </c>
    </row>
    <row r="25" spans="1:18" ht="28" x14ac:dyDescent="0.35">
      <c r="A25" s="31">
        <v>7201</v>
      </c>
      <c r="B25" s="23">
        <v>70971137</v>
      </c>
      <c r="C25" s="106" t="s">
        <v>19</v>
      </c>
      <c r="D25" s="51">
        <v>0</v>
      </c>
      <c r="E25" s="61">
        <v>0</v>
      </c>
      <c r="F25" s="52">
        <v>0</v>
      </c>
      <c r="G25" s="60">
        <v>0</v>
      </c>
      <c r="H25" s="55">
        <v>0</v>
      </c>
      <c r="I25" s="56">
        <v>0</v>
      </c>
      <c r="K25" s="58">
        <v>0</v>
      </c>
      <c r="L25" s="35">
        <v>0</v>
      </c>
      <c r="M25" s="33">
        <v>0</v>
      </c>
      <c r="N25" s="40">
        <v>0</v>
      </c>
      <c r="O25" s="43">
        <v>0</v>
      </c>
      <c r="P25" s="69">
        <v>0</v>
      </c>
      <c r="R25" s="18">
        <f t="shared" si="0"/>
        <v>0</v>
      </c>
    </row>
    <row r="26" spans="1:18" ht="28" x14ac:dyDescent="0.35">
      <c r="A26" s="89">
        <v>7202</v>
      </c>
      <c r="B26" s="23">
        <v>70188912</v>
      </c>
      <c r="C26" s="102" t="s">
        <v>90</v>
      </c>
      <c r="D26" s="90">
        <v>0</v>
      </c>
      <c r="E26" s="91">
        <v>0</v>
      </c>
      <c r="F26" s="92">
        <v>0</v>
      </c>
      <c r="G26" s="93">
        <v>0</v>
      </c>
      <c r="H26" s="94">
        <v>0</v>
      </c>
      <c r="I26" s="95">
        <v>0</v>
      </c>
      <c r="K26" s="234">
        <v>0</v>
      </c>
      <c r="L26" s="96">
        <v>0</v>
      </c>
      <c r="M26" s="97">
        <v>0</v>
      </c>
      <c r="N26" s="98">
        <v>0</v>
      </c>
      <c r="O26" s="99">
        <v>0</v>
      </c>
      <c r="P26" s="100">
        <v>0</v>
      </c>
      <c r="R26" s="18">
        <f t="shared" si="0"/>
        <v>0</v>
      </c>
    </row>
    <row r="27" spans="1:18" x14ac:dyDescent="0.35">
      <c r="A27" s="89">
        <v>7226</v>
      </c>
      <c r="B27" s="23">
        <v>71011544</v>
      </c>
      <c r="C27" s="163" t="s">
        <v>91</v>
      </c>
      <c r="D27" s="90">
        <v>8</v>
      </c>
      <c r="E27" s="91">
        <v>0</v>
      </c>
      <c r="F27" s="92">
        <v>2.7040000000000002</v>
      </c>
      <c r="G27" s="93">
        <v>0.08</v>
      </c>
      <c r="H27" s="94">
        <v>10.784000000000001</v>
      </c>
      <c r="I27" s="95">
        <v>0</v>
      </c>
      <c r="K27" s="234">
        <v>0</v>
      </c>
      <c r="L27" s="96">
        <v>0</v>
      </c>
      <c r="M27" s="97">
        <v>0</v>
      </c>
      <c r="N27" s="98">
        <v>0</v>
      </c>
      <c r="O27" s="99">
        <v>0</v>
      </c>
      <c r="P27" s="100">
        <v>0</v>
      </c>
      <c r="R27" s="18">
        <f t="shared" si="0"/>
        <v>10.784000000000001</v>
      </c>
    </row>
    <row r="28" spans="1:18" x14ac:dyDescent="0.35">
      <c r="A28" s="89">
        <v>7242</v>
      </c>
      <c r="B28" s="23">
        <v>71001361</v>
      </c>
      <c r="C28" s="101" t="s">
        <v>92</v>
      </c>
      <c r="D28" s="90">
        <v>0</v>
      </c>
      <c r="E28" s="91">
        <v>4</v>
      </c>
      <c r="F28" s="92">
        <v>0</v>
      </c>
      <c r="G28" s="93">
        <v>0</v>
      </c>
      <c r="H28" s="94">
        <v>4</v>
      </c>
      <c r="I28" s="95">
        <v>0</v>
      </c>
      <c r="K28" s="234">
        <v>0</v>
      </c>
      <c r="L28" s="96">
        <v>0</v>
      </c>
      <c r="M28" s="97">
        <v>0</v>
      </c>
      <c r="N28" s="98">
        <v>0</v>
      </c>
      <c r="O28" s="99">
        <v>0</v>
      </c>
      <c r="P28" s="100">
        <v>0</v>
      </c>
      <c r="R28" s="18">
        <f t="shared" si="0"/>
        <v>4</v>
      </c>
    </row>
    <row r="29" spans="1:18" ht="28" x14ac:dyDescent="0.35">
      <c r="A29" s="89">
        <v>7248</v>
      </c>
      <c r="B29" s="23">
        <v>70886822</v>
      </c>
      <c r="C29" s="106" t="s">
        <v>21</v>
      </c>
      <c r="D29" s="90">
        <v>60.904000000000003</v>
      </c>
      <c r="E29" s="91">
        <v>0</v>
      </c>
      <c r="F29" s="92">
        <v>20.585999999999999</v>
      </c>
      <c r="G29" s="93">
        <v>0.60899999999999999</v>
      </c>
      <c r="H29" s="94">
        <v>82.099000000000004</v>
      </c>
      <c r="I29" s="95">
        <v>0.15160000000000001</v>
      </c>
      <c r="K29" s="234">
        <v>63.68</v>
      </c>
      <c r="L29" s="96">
        <v>0</v>
      </c>
      <c r="M29" s="97">
        <v>21.524000000000001</v>
      </c>
      <c r="N29" s="98">
        <v>0.63600000000000001</v>
      </c>
      <c r="O29" s="99">
        <v>85.84</v>
      </c>
      <c r="P29" s="100">
        <v>0.30299999999999999</v>
      </c>
      <c r="R29" s="18">
        <f t="shared" si="0"/>
        <v>167.93900000000002</v>
      </c>
    </row>
    <row r="30" spans="1:18" x14ac:dyDescent="0.35">
      <c r="A30" s="89">
        <v>7249</v>
      </c>
      <c r="B30" s="23">
        <v>70886849</v>
      </c>
      <c r="C30" s="102" t="s">
        <v>93</v>
      </c>
      <c r="D30" s="90">
        <v>0</v>
      </c>
      <c r="E30" s="91">
        <v>0</v>
      </c>
      <c r="F30" s="92">
        <v>0</v>
      </c>
      <c r="G30" s="93">
        <v>0</v>
      </c>
      <c r="H30" s="94">
        <v>0</v>
      </c>
      <c r="I30" s="95">
        <v>0</v>
      </c>
      <c r="K30" s="234">
        <v>0</v>
      </c>
      <c r="L30" s="96">
        <v>0</v>
      </c>
      <c r="M30" s="97">
        <v>0</v>
      </c>
      <c r="N30" s="98">
        <v>0</v>
      </c>
      <c r="O30" s="99">
        <v>0</v>
      </c>
      <c r="P30" s="100">
        <v>0</v>
      </c>
      <c r="R30" s="18">
        <f t="shared" si="0"/>
        <v>0</v>
      </c>
    </row>
    <row r="31" spans="1:18" ht="28" x14ac:dyDescent="0.35">
      <c r="A31" s="89">
        <v>7254</v>
      </c>
      <c r="B31" s="23">
        <v>70982635</v>
      </c>
      <c r="C31" s="102" t="s">
        <v>47</v>
      </c>
      <c r="D31" s="90">
        <v>0</v>
      </c>
      <c r="E31" s="91">
        <v>0</v>
      </c>
      <c r="F31" s="92">
        <v>0</v>
      </c>
      <c r="G31" s="93">
        <v>0</v>
      </c>
      <c r="H31" s="94">
        <v>0</v>
      </c>
      <c r="I31" s="95">
        <v>0</v>
      </c>
      <c r="K31" s="234">
        <v>0</v>
      </c>
      <c r="L31" s="96">
        <v>0</v>
      </c>
      <c r="M31" s="97">
        <v>0</v>
      </c>
      <c r="N31" s="98">
        <v>0</v>
      </c>
      <c r="O31" s="99">
        <v>0</v>
      </c>
      <c r="P31" s="100">
        <v>0</v>
      </c>
      <c r="R31" s="18">
        <f t="shared" si="0"/>
        <v>0</v>
      </c>
    </row>
    <row r="32" spans="1:18" x14ac:dyDescent="0.35">
      <c r="A32" s="89">
        <v>7255</v>
      </c>
      <c r="B32" s="23">
        <v>71001379</v>
      </c>
      <c r="C32" s="102" t="s">
        <v>94</v>
      </c>
      <c r="D32" s="90">
        <v>0</v>
      </c>
      <c r="E32" s="91">
        <v>0</v>
      </c>
      <c r="F32" s="92">
        <v>0</v>
      </c>
      <c r="G32" s="93">
        <v>0</v>
      </c>
      <c r="H32" s="94">
        <v>0</v>
      </c>
      <c r="I32" s="95">
        <v>0</v>
      </c>
      <c r="K32" s="234">
        <v>0</v>
      </c>
      <c r="L32" s="96">
        <v>0</v>
      </c>
      <c r="M32" s="97">
        <v>0</v>
      </c>
      <c r="N32" s="98">
        <v>0</v>
      </c>
      <c r="O32" s="99">
        <v>0</v>
      </c>
      <c r="P32" s="100">
        <v>0</v>
      </c>
      <c r="R32" s="18">
        <f t="shared" si="0"/>
        <v>0</v>
      </c>
    </row>
    <row r="33" spans="1:18" ht="28" x14ac:dyDescent="0.35">
      <c r="A33" s="89">
        <v>7257</v>
      </c>
      <c r="B33" s="23">
        <v>70985634</v>
      </c>
      <c r="C33" s="102" t="s">
        <v>48</v>
      </c>
      <c r="D33" s="90">
        <v>16.079999999999998</v>
      </c>
      <c r="E33" s="91">
        <v>0</v>
      </c>
      <c r="F33" s="92">
        <v>5.4349999999999996</v>
      </c>
      <c r="G33" s="93">
        <v>0.161</v>
      </c>
      <c r="H33" s="94">
        <v>21.675999999999998</v>
      </c>
      <c r="I33" s="95">
        <v>4.5499999999999999E-2</v>
      </c>
      <c r="K33" s="234">
        <v>21.536000000000001</v>
      </c>
      <c r="L33" s="96">
        <v>0</v>
      </c>
      <c r="M33" s="97">
        <v>7.2789999999999999</v>
      </c>
      <c r="N33" s="98">
        <v>0.215</v>
      </c>
      <c r="O33" s="99">
        <v>29.03</v>
      </c>
      <c r="P33" s="100">
        <v>9.0899999999999995E-2</v>
      </c>
      <c r="R33" s="18">
        <f t="shared" si="0"/>
        <v>50.706000000000003</v>
      </c>
    </row>
    <row r="34" spans="1:18" ht="28" x14ac:dyDescent="0.35">
      <c r="A34" s="89">
        <v>7259</v>
      </c>
      <c r="B34" s="23">
        <v>70998442</v>
      </c>
      <c r="C34" s="107" t="s">
        <v>49</v>
      </c>
      <c r="D34" s="90">
        <v>0</v>
      </c>
      <c r="E34" s="91">
        <v>0</v>
      </c>
      <c r="F34" s="92">
        <v>0</v>
      </c>
      <c r="G34" s="93">
        <v>0</v>
      </c>
      <c r="H34" s="94">
        <v>0</v>
      </c>
      <c r="I34" s="95">
        <v>0</v>
      </c>
      <c r="K34" s="234">
        <v>0</v>
      </c>
      <c r="L34" s="96">
        <v>0</v>
      </c>
      <c r="M34" s="97">
        <v>0</v>
      </c>
      <c r="N34" s="98">
        <v>0</v>
      </c>
      <c r="O34" s="99">
        <v>0</v>
      </c>
      <c r="P34" s="100">
        <v>0</v>
      </c>
      <c r="R34" s="18">
        <f t="shared" si="0"/>
        <v>0</v>
      </c>
    </row>
    <row r="35" spans="1:18" ht="28" x14ac:dyDescent="0.35">
      <c r="A35" s="89">
        <v>7284</v>
      </c>
      <c r="B35" s="23">
        <v>71294503</v>
      </c>
      <c r="C35" s="101" t="s">
        <v>95</v>
      </c>
      <c r="D35" s="90">
        <v>0</v>
      </c>
      <c r="E35" s="130">
        <f>4-1</f>
        <v>3</v>
      </c>
      <c r="F35" s="92">
        <v>0</v>
      </c>
      <c r="G35" s="93">
        <v>0</v>
      </c>
      <c r="H35" s="94">
        <v>3</v>
      </c>
      <c r="I35" s="95">
        <v>0</v>
      </c>
      <c r="K35" s="234">
        <v>0</v>
      </c>
      <c r="L35" s="96">
        <v>0</v>
      </c>
      <c r="M35" s="97">
        <v>0</v>
      </c>
      <c r="N35" s="98">
        <v>0</v>
      </c>
      <c r="O35" s="99">
        <v>0</v>
      </c>
      <c r="P35" s="100">
        <v>0</v>
      </c>
      <c r="R35" s="18">
        <f t="shared" si="0"/>
        <v>3</v>
      </c>
    </row>
    <row r="36" spans="1:18" ht="28" x14ac:dyDescent="0.35">
      <c r="A36" s="89">
        <v>7274</v>
      </c>
      <c r="B36" s="158">
        <v>70890072</v>
      </c>
      <c r="C36" s="161" t="s">
        <v>50</v>
      </c>
      <c r="D36" s="90">
        <v>0</v>
      </c>
      <c r="E36" s="130">
        <f>16.8-2.4</f>
        <v>14.4</v>
      </c>
      <c r="F36" s="92">
        <v>0</v>
      </c>
      <c r="G36" s="93">
        <v>0</v>
      </c>
      <c r="H36" s="94">
        <v>14.4</v>
      </c>
      <c r="I36" s="95">
        <v>0</v>
      </c>
      <c r="K36" s="234">
        <v>0</v>
      </c>
      <c r="L36" s="96">
        <v>7.26</v>
      </c>
      <c r="M36" s="97">
        <v>0</v>
      </c>
      <c r="N36" s="98">
        <v>0</v>
      </c>
      <c r="O36" s="99">
        <v>7.26</v>
      </c>
      <c r="P36" s="100">
        <v>0</v>
      </c>
      <c r="R36" s="18">
        <f t="shared" si="0"/>
        <v>21.66</v>
      </c>
    </row>
    <row r="37" spans="1:18" ht="28" x14ac:dyDescent="0.35">
      <c r="A37" s="31">
        <v>7405</v>
      </c>
      <c r="B37" s="23">
        <v>857742</v>
      </c>
      <c r="C37" s="162" t="s">
        <v>96</v>
      </c>
      <c r="D37" s="90">
        <v>0</v>
      </c>
      <c r="E37" s="91">
        <v>0</v>
      </c>
      <c r="F37" s="92">
        <v>0</v>
      </c>
      <c r="G37" s="93">
        <v>0</v>
      </c>
      <c r="H37" s="94">
        <v>0</v>
      </c>
      <c r="I37" s="95">
        <v>0</v>
      </c>
      <c r="K37" s="234">
        <v>0</v>
      </c>
      <c r="L37" s="96">
        <v>0</v>
      </c>
      <c r="M37" s="97">
        <v>0</v>
      </c>
      <c r="N37" s="98">
        <v>0</v>
      </c>
      <c r="O37" s="99">
        <v>0</v>
      </c>
      <c r="P37" s="100">
        <v>0</v>
      </c>
      <c r="R37" s="18">
        <f t="shared" si="0"/>
        <v>0</v>
      </c>
    </row>
    <row r="38" spans="1:18" ht="29" x14ac:dyDescent="0.35">
      <c r="A38" s="154">
        <v>7424</v>
      </c>
      <c r="B38" s="155">
        <v>70926662</v>
      </c>
      <c r="C38" s="104" t="s">
        <v>97</v>
      </c>
      <c r="D38" s="90">
        <v>0</v>
      </c>
      <c r="E38" s="91">
        <v>27</v>
      </c>
      <c r="F38" s="92">
        <v>0</v>
      </c>
      <c r="G38" s="93">
        <v>0</v>
      </c>
      <c r="H38" s="94">
        <v>27</v>
      </c>
      <c r="I38" s="95">
        <v>0</v>
      </c>
      <c r="K38" s="234">
        <v>0</v>
      </c>
      <c r="L38" s="96">
        <v>44.22</v>
      </c>
      <c r="M38" s="97">
        <v>0</v>
      </c>
      <c r="N38" s="98">
        <v>0</v>
      </c>
      <c r="O38" s="99">
        <v>44.22</v>
      </c>
      <c r="P38" s="100">
        <v>0</v>
      </c>
      <c r="R38" s="18">
        <f t="shared" si="0"/>
        <v>71.22</v>
      </c>
    </row>
    <row r="39" spans="1:18" ht="29" x14ac:dyDescent="0.35">
      <c r="A39" s="89">
        <v>7426</v>
      </c>
      <c r="B39" s="23">
        <v>70932085</v>
      </c>
      <c r="C39" s="108" t="s">
        <v>20</v>
      </c>
      <c r="D39" s="90">
        <v>15.571999999999999</v>
      </c>
      <c r="E39" s="91">
        <v>0</v>
      </c>
      <c r="F39" s="92">
        <v>5.2629999999999999</v>
      </c>
      <c r="G39" s="93">
        <v>0.156</v>
      </c>
      <c r="H39" s="94">
        <v>20.991</v>
      </c>
      <c r="I39" s="95">
        <v>3.0300000000000001E-2</v>
      </c>
      <c r="K39" s="234">
        <v>33.328000000000003</v>
      </c>
      <c r="L39" s="96">
        <v>0</v>
      </c>
      <c r="M39" s="97">
        <v>11.265000000000001</v>
      </c>
      <c r="N39" s="98">
        <v>0.33300000000000002</v>
      </c>
      <c r="O39" s="99">
        <v>44.926000000000002</v>
      </c>
      <c r="P39" s="100">
        <v>6.0600000000000001E-2</v>
      </c>
      <c r="R39" s="18">
        <f t="shared" si="0"/>
        <v>65.917000000000002</v>
      </c>
    </row>
    <row r="40" spans="1:18" ht="28" x14ac:dyDescent="0.35">
      <c r="A40" s="89">
        <v>7433</v>
      </c>
      <c r="B40" s="23">
        <v>75016796</v>
      </c>
      <c r="C40" s="86" t="s">
        <v>98</v>
      </c>
      <c r="D40" s="90">
        <v>0</v>
      </c>
      <c r="E40" s="91">
        <v>7.2</v>
      </c>
      <c r="F40" s="92">
        <v>0</v>
      </c>
      <c r="G40" s="93">
        <v>0</v>
      </c>
      <c r="H40" s="94">
        <v>7.2</v>
      </c>
      <c r="I40" s="95">
        <v>0</v>
      </c>
      <c r="K40" s="234">
        <v>0</v>
      </c>
      <c r="L40" s="96">
        <v>15.18</v>
      </c>
      <c r="M40" s="97">
        <v>0</v>
      </c>
      <c r="N40" s="98">
        <v>0</v>
      </c>
      <c r="O40" s="99">
        <v>15.18</v>
      </c>
      <c r="P40" s="100">
        <v>0</v>
      </c>
      <c r="R40" s="18">
        <f t="shared" si="0"/>
        <v>22.38</v>
      </c>
    </row>
    <row r="41" spans="1:18" ht="28" x14ac:dyDescent="0.35">
      <c r="A41" s="31">
        <v>7517</v>
      </c>
      <c r="B41" s="23">
        <v>7009411</v>
      </c>
      <c r="C41" s="86" t="s">
        <v>99</v>
      </c>
      <c r="D41" s="90">
        <v>0</v>
      </c>
      <c r="E41" s="91">
        <v>9</v>
      </c>
      <c r="F41" s="92">
        <v>0</v>
      </c>
      <c r="G41" s="93">
        <v>0</v>
      </c>
      <c r="H41" s="94">
        <v>9</v>
      </c>
      <c r="I41" s="95">
        <v>0</v>
      </c>
      <c r="K41" s="234">
        <v>0</v>
      </c>
      <c r="L41" s="96">
        <v>13.2</v>
      </c>
      <c r="M41" s="97">
        <v>0</v>
      </c>
      <c r="N41" s="98">
        <v>0</v>
      </c>
      <c r="O41" s="99">
        <v>13.2</v>
      </c>
      <c r="P41" s="100">
        <v>0</v>
      </c>
      <c r="R41" s="18">
        <f t="shared" si="0"/>
        <v>22.2</v>
      </c>
    </row>
    <row r="42" spans="1:18" ht="42.5" x14ac:dyDescent="0.35">
      <c r="A42" s="154">
        <v>7443</v>
      </c>
      <c r="B42" s="155">
        <v>75016273</v>
      </c>
      <c r="C42" s="160" t="s">
        <v>100</v>
      </c>
      <c r="D42" s="90">
        <v>32.375999999999998</v>
      </c>
      <c r="E42" s="91">
        <v>26.7</v>
      </c>
      <c r="F42" s="92">
        <v>10.943</v>
      </c>
      <c r="G42" s="93">
        <v>0.32400000000000001</v>
      </c>
      <c r="H42" s="94">
        <v>70.343000000000004</v>
      </c>
      <c r="I42" s="95">
        <v>8.3299999999999999E-2</v>
      </c>
      <c r="K42" s="234">
        <v>107.57599999999999</v>
      </c>
      <c r="L42" s="96">
        <v>50.4</v>
      </c>
      <c r="M42" s="97">
        <v>36.360999999999997</v>
      </c>
      <c r="N42" s="98">
        <v>1.0760000000000001</v>
      </c>
      <c r="O42" s="99">
        <v>195.41300000000001</v>
      </c>
      <c r="P42" s="100">
        <v>0.21210000000000001</v>
      </c>
      <c r="R42" s="18">
        <f t="shared" si="0"/>
        <v>265.75600000000003</v>
      </c>
    </row>
    <row r="43" spans="1:18" ht="28.5" x14ac:dyDescent="0.35">
      <c r="A43" s="89">
        <v>7447</v>
      </c>
      <c r="B43" s="23">
        <v>70987262</v>
      </c>
      <c r="C43" s="109" t="s">
        <v>53</v>
      </c>
      <c r="D43" s="90">
        <v>0</v>
      </c>
      <c r="E43" s="91">
        <v>0</v>
      </c>
      <c r="F43" s="92">
        <v>0</v>
      </c>
      <c r="G43" s="93">
        <v>0</v>
      </c>
      <c r="H43" s="94">
        <v>0</v>
      </c>
      <c r="I43" s="95">
        <v>0</v>
      </c>
      <c r="K43" s="234">
        <v>0</v>
      </c>
      <c r="L43" s="96">
        <v>0</v>
      </c>
      <c r="M43" s="97">
        <v>0</v>
      </c>
      <c r="N43" s="98">
        <v>0</v>
      </c>
      <c r="O43" s="99">
        <v>0</v>
      </c>
      <c r="P43" s="100">
        <v>0</v>
      </c>
      <c r="R43" s="18">
        <f t="shared" si="0"/>
        <v>0</v>
      </c>
    </row>
    <row r="44" spans="1:18" ht="28.5" x14ac:dyDescent="0.35">
      <c r="A44" s="89">
        <v>7454</v>
      </c>
      <c r="B44" s="23">
        <v>70995397</v>
      </c>
      <c r="C44" s="110" t="s">
        <v>54</v>
      </c>
      <c r="D44" s="90">
        <v>136.32400000000001</v>
      </c>
      <c r="E44" s="91">
        <v>0</v>
      </c>
      <c r="F44" s="92">
        <v>46.076999999999998</v>
      </c>
      <c r="G44" s="93">
        <v>1.3640000000000001</v>
      </c>
      <c r="H44" s="94">
        <v>183.76499999999999</v>
      </c>
      <c r="I44" s="95">
        <v>0.31830000000000003</v>
      </c>
      <c r="K44" s="234">
        <v>289.649</v>
      </c>
      <c r="L44" s="96">
        <v>0</v>
      </c>
      <c r="M44" s="97">
        <v>97.902000000000001</v>
      </c>
      <c r="N44" s="98">
        <v>2.8969999999999998</v>
      </c>
      <c r="O44" s="99">
        <v>390.44799999999998</v>
      </c>
      <c r="P44" s="100">
        <v>0.63629999999999998</v>
      </c>
      <c r="R44" s="18">
        <f t="shared" si="0"/>
        <v>574.21299999999997</v>
      </c>
    </row>
    <row r="45" spans="1:18" ht="28.5" x14ac:dyDescent="0.35">
      <c r="A45" s="89">
        <v>7467</v>
      </c>
      <c r="B45" s="23">
        <v>857611</v>
      </c>
      <c r="C45" s="111" t="s">
        <v>23</v>
      </c>
      <c r="D45" s="90">
        <v>0</v>
      </c>
      <c r="E45" s="91">
        <v>18</v>
      </c>
      <c r="F45" s="92">
        <v>0</v>
      </c>
      <c r="G45" s="93">
        <v>0</v>
      </c>
      <c r="H45" s="94">
        <v>18</v>
      </c>
      <c r="I45" s="95">
        <v>0</v>
      </c>
      <c r="K45" s="234">
        <v>0</v>
      </c>
      <c r="L45" s="96">
        <v>42</v>
      </c>
      <c r="M45" s="97">
        <v>0</v>
      </c>
      <c r="N45" s="98">
        <v>0</v>
      </c>
      <c r="O45" s="99">
        <v>42</v>
      </c>
      <c r="P45" s="100">
        <v>0</v>
      </c>
      <c r="R45" s="18">
        <f t="shared" si="0"/>
        <v>60</v>
      </c>
    </row>
    <row r="46" spans="1:18" ht="28.5" x14ac:dyDescent="0.35">
      <c r="A46" s="89">
        <v>7468</v>
      </c>
      <c r="B46" s="23">
        <v>70154279</v>
      </c>
      <c r="C46" s="112" t="s">
        <v>101</v>
      </c>
      <c r="D46" s="90">
        <v>0</v>
      </c>
      <c r="E46" s="91">
        <v>28.8</v>
      </c>
      <c r="F46" s="92">
        <v>0</v>
      </c>
      <c r="G46" s="93">
        <v>0</v>
      </c>
      <c r="H46" s="94">
        <v>28.8</v>
      </c>
      <c r="I46" s="95">
        <v>0</v>
      </c>
      <c r="K46" s="234">
        <v>0</v>
      </c>
      <c r="L46" s="96">
        <v>89.76</v>
      </c>
      <c r="M46" s="97">
        <v>0</v>
      </c>
      <c r="N46" s="98">
        <v>0</v>
      </c>
      <c r="O46" s="99">
        <v>89.76</v>
      </c>
      <c r="P46" s="100">
        <v>0</v>
      </c>
      <c r="R46" s="18">
        <f t="shared" si="0"/>
        <v>118.56</v>
      </c>
    </row>
    <row r="47" spans="1:18" ht="28.5" x14ac:dyDescent="0.35">
      <c r="A47" s="89">
        <v>7469</v>
      </c>
      <c r="B47" s="23">
        <v>70154287</v>
      </c>
      <c r="C47" s="113" t="s">
        <v>102</v>
      </c>
      <c r="D47" s="90">
        <v>0</v>
      </c>
      <c r="E47" s="91">
        <v>38.4</v>
      </c>
      <c r="F47" s="92">
        <v>12.98</v>
      </c>
      <c r="G47" s="93">
        <v>0</v>
      </c>
      <c r="H47" s="94">
        <v>51.38</v>
      </c>
      <c r="I47" s="95">
        <v>0</v>
      </c>
      <c r="K47" s="234">
        <v>0</v>
      </c>
      <c r="L47" s="96">
        <v>0</v>
      </c>
      <c r="M47" s="97">
        <v>0</v>
      </c>
      <c r="N47" s="98">
        <v>0</v>
      </c>
      <c r="O47" s="99">
        <v>0</v>
      </c>
      <c r="P47" s="100">
        <v>0</v>
      </c>
      <c r="R47" s="18">
        <f t="shared" si="0"/>
        <v>51.38</v>
      </c>
    </row>
    <row r="48" spans="1:18" ht="28.5" x14ac:dyDescent="0.35">
      <c r="A48" s="89">
        <v>7473</v>
      </c>
      <c r="B48" s="23">
        <v>70154309</v>
      </c>
      <c r="C48" s="114" t="s">
        <v>103</v>
      </c>
      <c r="D48" s="90">
        <v>0</v>
      </c>
      <c r="E48" s="91">
        <v>0</v>
      </c>
      <c r="F48" s="92">
        <v>0</v>
      </c>
      <c r="G48" s="93">
        <v>0</v>
      </c>
      <c r="H48" s="94">
        <v>0</v>
      </c>
      <c r="I48" s="95">
        <v>0</v>
      </c>
      <c r="K48" s="234">
        <v>0</v>
      </c>
      <c r="L48" s="96">
        <v>0</v>
      </c>
      <c r="M48" s="97">
        <v>0</v>
      </c>
      <c r="N48" s="98">
        <v>0</v>
      </c>
      <c r="O48" s="99">
        <v>0</v>
      </c>
      <c r="P48" s="100">
        <v>0</v>
      </c>
      <c r="R48" s="18">
        <f t="shared" si="0"/>
        <v>0</v>
      </c>
    </row>
    <row r="49" spans="1:18" ht="28" x14ac:dyDescent="0.35">
      <c r="A49" s="89">
        <v>7459</v>
      </c>
      <c r="B49" s="158">
        <v>70996431</v>
      </c>
      <c r="C49" s="101" t="s">
        <v>104</v>
      </c>
      <c r="D49" s="90">
        <v>0</v>
      </c>
      <c r="E49" s="91">
        <v>4.8</v>
      </c>
      <c r="F49" s="92">
        <v>0</v>
      </c>
      <c r="G49" s="93">
        <v>0</v>
      </c>
      <c r="H49" s="94">
        <v>4.8</v>
      </c>
      <c r="I49" s="95">
        <v>0</v>
      </c>
      <c r="K49" s="234">
        <v>0</v>
      </c>
      <c r="L49" s="96">
        <v>0</v>
      </c>
      <c r="M49" s="97">
        <v>0</v>
      </c>
      <c r="N49" s="98">
        <v>0</v>
      </c>
      <c r="O49" s="99">
        <v>0</v>
      </c>
      <c r="P49" s="100">
        <v>0</v>
      </c>
      <c r="R49" s="18">
        <f t="shared" si="0"/>
        <v>4.8</v>
      </c>
    </row>
    <row r="50" spans="1:18" ht="28.5" x14ac:dyDescent="0.35">
      <c r="A50" s="31">
        <v>7500</v>
      </c>
      <c r="B50" s="23">
        <v>857688</v>
      </c>
      <c r="C50" s="159" t="s">
        <v>25</v>
      </c>
      <c r="D50" s="90">
        <v>63.368000000000002</v>
      </c>
      <c r="E50" s="91">
        <v>0</v>
      </c>
      <c r="F50" s="92">
        <v>21.417999999999999</v>
      </c>
      <c r="G50" s="93">
        <v>0.63400000000000001</v>
      </c>
      <c r="H50" s="94">
        <v>85.42</v>
      </c>
      <c r="I50" s="95">
        <v>0.15160000000000001</v>
      </c>
      <c r="K50" s="234">
        <v>141.232</v>
      </c>
      <c r="L50" s="96">
        <v>0</v>
      </c>
      <c r="M50" s="97">
        <v>47.735999999999997</v>
      </c>
      <c r="N50" s="98">
        <v>1.4119999999999999</v>
      </c>
      <c r="O50" s="99">
        <v>190.38</v>
      </c>
      <c r="P50" s="100">
        <v>0.30299999999999999</v>
      </c>
      <c r="R50" s="18">
        <f t="shared" si="0"/>
        <v>275.8</v>
      </c>
    </row>
    <row r="51" spans="1:18" ht="28" x14ac:dyDescent="0.35">
      <c r="A51" s="154">
        <v>7615</v>
      </c>
      <c r="B51" s="155">
        <v>75015919</v>
      </c>
      <c r="C51" s="156" t="s">
        <v>105</v>
      </c>
      <c r="D51" s="90">
        <v>0</v>
      </c>
      <c r="E51" s="91">
        <v>0</v>
      </c>
      <c r="F51" s="92">
        <v>0</v>
      </c>
      <c r="G51" s="93">
        <v>0</v>
      </c>
      <c r="H51" s="94">
        <v>0</v>
      </c>
      <c r="I51" s="95">
        <v>0</v>
      </c>
      <c r="K51" s="234">
        <v>0</v>
      </c>
      <c r="L51" s="96">
        <v>0</v>
      </c>
      <c r="M51" s="97">
        <v>0</v>
      </c>
      <c r="N51" s="98">
        <v>0</v>
      </c>
      <c r="O51" s="99">
        <v>0</v>
      </c>
      <c r="P51" s="100">
        <v>0</v>
      </c>
      <c r="R51" s="18">
        <f t="shared" si="0"/>
        <v>0</v>
      </c>
    </row>
    <row r="52" spans="1:18" ht="42" x14ac:dyDescent="0.35">
      <c r="A52" s="89">
        <v>7617</v>
      </c>
      <c r="B52" s="23">
        <v>75018616</v>
      </c>
      <c r="C52" s="115" t="s">
        <v>17</v>
      </c>
      <c r="D52" s="90">
        <v>0</v>
      </c>
      <c r="E52" s="91">
        <v>6</v>
      </c>
      <c r="F52" s="92">
        <v>0</v>
      </c>
      <c r="G52" s="93">
        <v>0</v>
      </c>
      <c r="H52" s="94">
        <v>6</v>
      </c>
      <c r="I52" s="95">
        <v>0</v>
      </c>
      <c r="K52" s="234">
        <v>0</v>
      </c>
      <c r="L52" s="96">
        <v>9.9</v>
      </c>
      <c r="M52" s="97">
        <v>0</v>
      </c>
      <c r="N52" s="98">
        <v>0</v>
      </c>
      <c r="O52" s="99">
        <v>9.9</v>
      </c>
      <c r="P52" s="100">
        <v>0</v>
      </c>
      <c r="R52" s="18">
        <f t="shared" si="0"/>
        <v>15.9</v>
      </c>
    </row>
    <row r="53" spans="1:18" ht="28" x14ac:dyDescent="0.35">
      <c r="A53" s="31">
        <v>7620</v>
      </c>
      <c r="B53" s="23">
        <v>75015013</v>
      </c>
      <c r="C53" s="153" t="s">
        <v>106</v>
      </c>
      <c r="D53" s="90">
        <v>0</v>
      </c>
      <c r="E53" s="91">
        <v>15.9</v>
      </c>
      <c r="F53" s="92">
        <v>0</v>
      </c>
      <c r="G53" s="93">
        <v>0</v>
      </c>
      <c r="H53" s="94">
        <v>15.9</v>
      </c>
      <c r="I53" s="95">
        <v>0</v>
      </c>
      <c r="K53" s="234">
        <v>0</v>
      </c>
      <c r="L53" s="96">
        <v>34.5</v>
      </c>
      <c r="M53" s="97">
        <v>0</v>
      </c>
      <c r="N53" s="98">
        <v>0</v>
      </c>
      <c r="O53" s="99">
        <v>34.5</v>
      </c>
      <c r="P53" s="100">
        <v>0</v>
      </c>
      <c r="R53" s="18">
        <f t="shared" si="0"/>
        <v>50.4</v>
      </c>
    </row>
    <row r="54" spans="1:18" ht="28" x14ac:dyDescent="0.35">
      <c r="A54" s="154">
        <v>7627</v>
      </c>
      <c r="B54" s="155">
        <v>70157332</v>
      </c>
      <c r="C54" s="157" t="s">
        <v>22</v>
      </c>
      <c r="D54" s="90">
        <v>320</v>
      </c>
      <c r="E54" s="91">
        <v>0</v>
      </c>
      <c r="F54" s="92">
        <v>108.16</v>
      </c>
      <c r="G54" s="93">
        <v>3.2</v>
      </c>
      <c r="H54" s="94">
        <v>431.36</v>
      </c>
      <c r="I54" s="95">
        <v>0.60599999999999998</v>
      </c>
      <c r="K54" s="234">
        <v>704</v>
      </c>
      <c r="L54" s="96">
        <v>0</v>
      </c>
      <c r="M54" s="97">
        <v>237.952</v>
      </c>
      <c r="N54" s="98">
        <v>7.04</v>
      </c>
      <c r="O54" s="99">
        <v>948.99199999999996</v>
      </c>
      <c r="P54" s="100">
        <v>1.3331999999999999</v>
      </c>
      <c r="R54" s="18">
        <f t="shared" si="0"/>
        <v>1380.3519999999999</v>
      </c>
    </row>
    <row r="55" spans="1:18" x14ac:dyDescent="0.35">
      <c r="A55" s="31">
        <v>7629</v>
      </c>
      <c r="B55" s="23">
        <v>60884541</v>
      </c>
      <c r="C55" s="153" t="s">
        <v>58</v>
      </c>
      <c r="D55" s="90">
        <v>0</v>
      </c>
      <c r="E55" s="91">
        <v>16.8</v>
      </c>
      <c r="F55" s="92">
        <v>0</v>
      </c>
      <c r="G55" s="93">
        <v>0</v>
      </c>
      <c r="H55" s="94">
        <v>16.8</v>
      </c>
      <c r="I55" s="95">
        <v>0</v>
      </c>
      <c r="K55" s="234">
        <v>0</v>
      </c>
      <c r="L55" s="96">
        <v>24.75</v>
      </c>
      <c r="M55" s="97">
        <v>0</v>
      </c>
      <c r="N55" s="98">
        <v>0</v>
      </c>
      <c r="O55" s="99">
        <v>24.75</v>
      </c>
      <c r="P55" s="100">
        <v>0</v>
      </c>
      <c r="R55" s="18">
        <f t="shared" si="0"/>
        <v>41.55</v>
      </c>
    </row>
    <row r="56" spans="1:18" ht="28" x14ac:dyDescent="0.35">
      <c r="A56" s="154">
        <v>7652</v>
      </c>
      <c r="B56" s="155">
        <v>75015340</v>
      </c>
      <c r="C56" s="156" t="s">
        <v>59</v>
      </c>
      <c r="D56" s="90">
        <v>0</v>
      </c>
      <c r="E56" s="91">
        <v>21</v>
      </c>
      <c r="F56" s="92">
        <v>0</v>
      </c>
      <c r="G56" s="93">
        <v>0</v>
      </c>
      <c r="H56" s="94">
        <v>21</v>
      </c>
      <c r="I56" s="95">
        <v>0</v>
      </c>
      <c r="K56" s="234">
        <v>0</v>
      </c>
      <c r="L56" s="96">
        <v>0</v>
      </c>
      <c r="M56" s="97">
        <v>0</v>
      </c>
      <c r="N56" s="98">
        <v>0</v>
      </c>
      <c r="O56" s="99">
        <v>0</v>
      </c>
      <c r="P56" s="100">
        <v>0</v>
      </c>
      <c r="R56" s="18">
        <f t="shared" si="0"/>
        <v>21</v>
      </c>
    </row>
    <row r="57" spans="1:18" ht="28" x14ac:dyDescent="0.35">
      <c r="A57" s="89">
        <v>7653</v>
      </c>
      <c r="B57" s="23">
        <v>75015498</v>
      </c>
      <c r="C57" s="115" t="s">
        <v>60</v>
      </c>
      <c r="D57" s="90">
        <v>0</v>
      </c>
      <c r="E57" s="91">
        <v>45</v>
      </c>
      <c r="F57" s="92">
        <v>0</v>
      </c>
      <c r="G57" s="93">
        <v>0</v>
      </c>
      <c r="H57" s="94">
        <v>45</v>
      </c>
      <c r="I57" s="95">
        <v>0</v>
      </c>
      <c r="K57" s="234">
        <v>0</v>
      </c>
      <c r="L57" s="96">
        <v>87.12</v>
      </c>
      <c r="M57" s="97">
        <v>0</v>
      </c>
      <c r="N57" s="98">
        <v>0</v>
      </c>
      <c r="O57" s="99">
        <v>87.12</v>
      </c>
      <c r="P57" s="100">
        <v>0</v>
      </c>
      <c r="R57" s="18">
        <f t="shared" si="0"/>
        <v>132.12</v>
      </c>
    </row>
    <row r="58" spans="1:18" ht="28" x14ac:dyDescent="0.35">
      <c r="A58" s="89">
        <v>7654</v>
      </c>
      <c r="B58" s="23">
        <v>60884835</v>
      </c>
      <c r="C58" s="115" t="s">
        <v>27</v>
      </c>
      <c r="D58" s="90">
        <v>0</v>
      </c>
      <c r="E58" s="91">
        <v>14.25</v>
      </c>
      <c r="F58" s="92">
        <v>0</v>
      </c>
      <c r="G58" s="93">
        <v>0</v>
      </c>
      <c r="H58" s="94">
        <v>14.25</v>
      </c>
      <c r="I58" s="95">
        <v>0</v>
      </c>
      <c r="K58" s="234">
        <v>0</v>
      </c>
      <c r="L58" s="96">
        <v>24</v>
      </c>
      <c r="M58" s="97">
        <v>0</v>
      </c>
      <c r="N58" s="98">
        <v>0</v>
      </c>
      <c r="O58" s="99">
        <v>24</v>
      </c>
      <c r="P58" s="100">
        <v>0</v>
      </c>
      <c r="R58" s="18">
        <f t="shared" si="0"/>
        <v>38.25</v>
      </c>
    </row>
    <row r="59" spans="1:18" ht="28" x14ac:dyDescent="0.35">
      <c r="A59" s="89">
        <v>7657</v>
      </c>
      <c r="B59" s="23">
        <v>70979685</v>
      </c>
      <c r="C59" s="115" t="s">
        <v>61</v>
      </c>
      <c r="D59" s="90">
        <v>0</v>
      </c>
      <c r="E59" s="91">
        <v>30</v>
      </c>
      <c r="F59" s="92">
        <v>0</v>
      </c>
      <c r="G59" s="93">
        <v>0</v>
      </c>
      <c r="H59" s="94">
        <v>30</v>
      </c>
      <c r="I59" s="95">
        <v>0</v>
      </c>
      <c r="K59" s="234">
        <v>0</v>
      </c>
      <c r="L59" s="96">
        <v>44</v>
      </c>
      <c r="M59" s="97">
        <v>0</v>
      </c>
      <c r="N59" s="98">
        <v>0</v>
      </c>
      <c r="O59" s="99">
        <v>44</v>
      </c>
      <c r="P59" s="100">
        <v>0</v>
      </c>
      <c r="R59" s="18">
        <f t="shared" si="0"/>
        <v>74</v>
      </c>
    </row>
    <row r="60" spans="1:18" ht="28" x14ac:dyDescent="0.35">
      <c r="A60" s="89">
        <v>7658</v>
      </c>
      <c r="B60" s="23">
        <v>70156611</v>
      </c>
      <c r="C60" s="115" t="s">
        <v>62</v>
      </c>
      <c r="D60" s="90">
        <v>0</v>
      </c>
      <c r="E60" s="91">
        <v>16.8</v>
      </c>
      <c r="F60" s="92">
        <v>0</v>
      </c>
      <c r="G60" s="93">
        <v>0</v>
      </c>
      <c r="H60" s="94">
        <v>16.8</v>
      </c>
      <c r="I60" s="95">
        <v>0</v>
      </c>
      <c r="K60" s="234">
        <v>0</v>
      </c>
      <c r="L60" s="96">
        <v>28.8</v>
      </c>
      <c r="M60" s="97">
        <v>0</v>
      </c>
      <c r="N60" s="98">
        <v>0</v>
      </c>
      <c r="O60" s="99">
        <v>28.8</v>
      </c>
      <c r="P60" s="100">
        <v>0</v>
      </c>
      <c r="R60" s="18">
        <f t="shared" si="0"/>
        <v>45.6</v>
      </c>
    </row>
    <row r="61" spans="1:18" ht="28" x14ac:dyDescent="0.35">
      <c r="A61" s="31">
        <v>7662</v>
      </c>
      <c r="B61" s="23">
        <v>75017245</v>
      </c>
      <c r="C61" s="153" t="s">
        <v>63</v>
      </c>
      <c r="D61" s="90">
        <v>0</v>
      </c>
      <c r="E61" s="91">
        <v>14.4</v>
      </c>
      <c r="F61" s="92">
        <v>0</v>
      </c>
      <c r="G61" s="93">
        <v>0</v>
      </c>
      <c r="H61" s="94">
        <v>14.4</v>
      </c>
      <c r="I61" s="95">
        <v>0</v>
      </c>
      <c r="K61" s="234">
        <v>0</v>
      </c>
      <c r="L61" s="96">
        <v>22.5</v>
      </c>
      <c r="M61" s="97">
        <v>0</v>
      </c>
      <c r="N61" s="98">
        <v>0</v>
      </c>
      <c r="O61" s="99">
        <v>22.5</v>
      </c>
      <c r="P61" s="100">
        <v>0</v>
      </c>
      <c r="R61" s="18">
        <f t="shared" si="0"/>
        <v>36.9</v>
      </c>
    </row>
    <row r="62" spans="1:18" ht="28" x14ac:dyDescent="0.35">
      <c r="A62" s="154">
        <v>7804</v>
      </c>
      <c r="B62" s="155">
        <v>60154721</v>
      </c>
      <c r="C62" s="156" t="s">
        <v>66</v>
      </c>
      <c r="D62" s="313">
        <f>54-8.5</f>
        <v>45.5</v>
      </c>
      <c r="E62" s="130">
        <f>10.8-1</f>
        <v>9.8000000000000007</v>
      </c>
      <c r="F62" s="130">
        <f>18.252-2.873</f>
        <v>15.378999999999998</v>
      </c>
      <c r="G62" s="130">
        <f>0.54-0.085</f>
        <v>0.45500000000000002</v>
      </c>
      <c r="H62" s="94">
        <v>71.134</v>
      </c>
      <c r="I62" s="164">
        <f>0.1251-0.0213</f>
        <v>0.10379999999999999</v>
      </c>
      <c r="K62" s="234">
        <v>90</v>
      </c>
      <c r="L62" s="96">
        <v>19.8</v>
      </c>
      <c r="M62" s="97">
        <v>30.42</v>
      </c>
      <c r="N62" s="98">
        <v>0.9</v>
      </c>
      <c r="O62" s="99">
        <v>141.12</v>
      </c>
      <c r="P62" s="100">
        <v>0.2727</v>
      </c>
      <c r="R62" s="18">
        <f t="shared" si="0"/>
        <v>212.25400000000002</v>
      </c>
    </row>
    <row r="63" spans="1:18" ht="28" x14ac:dyDescent="0.35">
      <c r="A63" s="31">
        <v>7805</v>
      </c>
      <c r="B63" s="23">
        <v>60154730</v>
      </c>
      <c r="C63" s="153" t="s">
        <v>16</v>
      </c>
      <c r="D63" s="90">
        <v>0</v>
      </c>
      <c r="E63" s="91">
        <v>39</v>
      </c>
      <c r="F63" s="92">
        <v>0</v>
      </c>
      <c r="G63" s="93">
        <v>0</v>
      </c>
      <c r="H63" s="94">
        <v>39</v>
      </c>
      <c r="I63" s="95">
        <v>0</v>
      </c>
      <c r="K63" s="234">
        <v>0</v>
      </c>
      <c r="L63" s="96">
        <v>75.900000000000006</v>
      </c>
      <c r="M63" s="97">
        <v>0</v>
      </c>
      <c r="N63" s="98">
        <v>0</v>
      </c>
      <c r="O63" s="99">
        <v>75.900000000000006</v>
      </c>
      <c r="P63" s="100">
        <v>0</v>
      </c>
      <c r="R63" s="18">
        <f t="shared" si="0"/>
        <v>114.9</v>
      </c>
    </row>
    <row r="64" spans="1:18" ht="28" x14ac:dyDescent="0.35">
      <c r="A64" s="154">
        <v>7829</v>
      </c>
      <c r="B64" s="155">
        <v>75017032</v>
      </c>
      <c r="C64" s="116" t="s">
        <v>107</v>
      </c>
      <c r="D64" s="90">
        <v>0</v>
      </c>
      <c r="E64" s="130">
        <f>11.7-5.7</f>
        <v>5.9999999999999991</v>
      </c>
      <c r="F64" s="92">
        <v>0</v>
      </c>
      <c r="G64" s="93">
        <v>0</v>
      </c>
      <c r="H64" s="94">
        <v>6</v>
      </c>
      <c r="I64" s="95">
        <v>0</v>
      </c>
      <c r="K64" s="234">
        <v>0</v>
      </c>
      <c r="L64" s="96">
        <v>21.6</v>
      </c>
      <c r="M64" s="97">
        <v>0</v>
      </c>
      <c r="N64" s="98">
        <v>0</v>
      </c>
      <c r="O64" s="99">
        <v>21.6</v>
      </c>
      <c r="P64" s="100">
        <v>0</v>
      </c>
      <c r="R64" s="18">
        <f t="shared" si="0"/>
        <v>27.6</v>
      </c>
    </row>
    <row r="65" spans="1:18" ht="28" x14ac:dyDescent="0.35">
      <c r="A65" s="89">
        <v>7833</v>
      </c>
      <c r="B65" s="23">
        <v>64201121</v>
      </c>
      <c r="C65" s="117" t="s">
        <v>28</v>
      </c>
      <c r="D65" s="90">
        <v>0</v>
      </c>
      <c r="E65" s="130">
        <f>29.4-4.8</f>
        <v>24.599999999999998</v>
      </c>
      <c r="F65" s="92">
        <v>0</v>
      </c>
      <c r="G65" s="93">
        <v>0</v>
      </c>
      <c r="H65" s="94">
        <v>24.6</v>
      </c>
      <c r="I65" s="95">
        <v>0</v>
      </c>
      <c r="K65" s="234">
        <v>0</v>
      </c>
      <c r="L65" s="96">
        <v>36</v>
      </c>
      <c r="M65" s="97">
        <v>0</v>
      </c>
      <c r="N65" s="98">
        <v>0</v>
      </c>
      <c r="O65" s="99">
        <v>36</v>
      </c>
      <c r="P65" s="100">
        <v>0</v>
      </c>
      <c r="R65" s="18">
        <f t="shared" si="0"/>
        <v>60.6</v>
      </c>
    </row>
    <row r="66" spans="1:18" ht="28" x14ac:dyDescent="0.35">
      <c r="A66" s="89">
        <v>7836</v>
      </c>
      <c r="B66" s="23">
        <v>64201147</v>
      </c>
      <c r="C66" s="117" t="s">
        <v>69</v>
      </c>
      <c r="D66" s="90">
        <v>0</v>
      </c>
      <c r="E66" s="130">
        <f>12.6-0.9</f>
        <v>11.7</v>
      </c>
      <c r="F66" s="92">
        <v>0</v>
      </c>
      <c r="G66" s="93">
        <v>0</v>
      </c>
      <c r="H66" s="94">
        <v>11.7</v>
      </c>
      <c r="I66" s="95">
        <v>0</v>
      </c>
      <c r="K66" s="234">
        <v>0</v>
      </c>
      <c r="L66" s="96">
        <v>19.47</v>
      </c>
      <c r="M66" s="97">
        <v>0</v>
      </c>
      <c r="N66" s="98">
        <v>0</v>
      </c>
      <c r="O66" s="99">
        <v>19.47</v>
      </c>
      <c r="P66" s="100">
        <v>0</v>
      </c>
      <c r="R66" s="18">
        <f t="shared" si="0"/>
        <v>31.169999999999998</v>
      </c>
    </row>
    <row r="67" spans="1:18" x14ac:dyDescent="0.35">
      <c r="A67" s="89">
        <v>7847</v>
      </c>
      <c r="B67" s="23">
        <v>70988021</v>
      </c>
      <c r="C67" s="117" t="s">
        <v>70</v>
      </c>
      <c r="D67" s="90">
        <v>0</v>
      </c>
      <c r="E67" s="91">
        <v>15.6</v>
      </c>
      <c r="F67" s="92">
        <v>0</v>
      </c>
      <c r="G67" s="93">
        <v>0</v>
      </c>
      <c r="H67" s="94">
        <v>15.6</v>
      </c>
      <c r="I67" s="95">
        <v>0</v>
      </c>
      <c r="K67" s="234">
        <v>0</v>
      </c>
      <c r="L67" s="96">
        <v>30.36</v>
      </c>
      <c r="M67" s="97">
        <v>0</v>
      </c>
      <c r="N67" s="98">
        <v>0</v>
      </c>
      <c r="O67" s="99">
        <v>30.36</v>
      </c>
      <c r="P67" s="100">
        <v>0</v>
      </c>
      <c r="R67" s="18">
        <f t="shared" si="0"/>
        <v>45.96</v>
      </c>
    </row>
    <row r="68" spans="1:18" ht="28" x14ac:dyDescent="0.35">
      <c r="A68" s="89">
        <v>7854</v>
      </c>
      <c r="B68" s="23">
        <v>49290266</v>
      </c>
      <c r="C68" s="117" t="s">
        <v>108</v>
      </c>
      <c r="D68" s="90">
        <v>0</v>
      </c>
      <c r="E68" s="91">
        <v>0</v>
      </c>
      <c r="F68" s="92">
        <v>0</v>
      </c>
      <c r="G68" s="93">
        <v>0</v>
      </c>
      <c r="H68" s="94">
        <v>0</v>
      </c>
      <c r="I68" s="95">
        <v>0</v>
      </c>
      <c r="K68" s="234">
        <v>0</v>
      </c>
      <c r="L68" s="96">
        <v>0</v>
      </c>
      <c r="M68" s="97">
        <v>0</v>
      </c>
      <c r="N68" s="98">
        <v>0</v>
      </c>
      <c r="O68" s="99">
        <v>0</v>
      </c>
      <c r="P68" s="100">
        <v>0</v>
      </c>
      <c r="R68" s="18">
        <f t="shared" si="0"/>
        <v>0</v>
      </c>
    </row>
    <row r="69" spans="1:18" x14ac:dyDescent="0.35">
      <c r="A69" s="89">
        <v>7861</v>
      </c>
      <c r="B69" s="23">
        <v>49290649</v>
      </c>
      <c r="C69" s="117" t="s">
        <v>71</v>
      </c>
      <c r="D69" s="90">
        <v>0</v>
      </c>
      <c r="E69" s="91">
        <v>15</v>
      </c>
      <c r="F69" s="92">
        <v>0</v>
      </c>
      <c r="G69" s="93">
        <v>0</v>
      </c>
      <c r="H69" s="94">
        <v>15</v>
      </c>
      <c r="I69" s="95">
        <v>0</v>
      </c>
      <c r="K69" s="234">
        <v>0</v>
      </c>
      <c r="L69" s="96">
        <v>22.74</v>
      </c>
      <c r="M69" s="97">
        <v>0</v>
      </c>
      <c r="N69" s="98">
        <v>0</v>
      </c>
      <c r="O69" s="99">
        <v>22.74</v>
      </c>
      <c r="P69" s="100">
        <v>0</v>
      </c>
      <c r="R69" s="18">
        <f t="shared" si="0"/>
        <v>37.739999999999995</v>
      </c>
    </row>
    <row r="70" spans="1:18" ht="28" x14ac:dyDescent="0.35">
      <c r="A70" s="89">
        <v>7864</v>
      </c>
      <c r="B70" s="23">
        <v>75017491</v>
      </c>
      <c r="C70" s="153" t="s">
        <v>72</v>
      </c>
      <c r="D70" s="90">
        <v>0</v>
      </c>
      <c r="E70" s="91">
        <v>18</v>
      </c>
      <c r="F70" s="92">
        <v>0</v>
      </c>
      <c r="G70" s="93">
        <v>0</v>
      </c>
      <c r="H70" s="94">
        <v>18</v>
      </c>
      <c r="I70" s="95">
        <v>0</v>
      </c>
      <c r="K70" s="234">
        <v>0</v>
      </c>
      <c r="L70" s="96">
        <v>29.7</v>
      </c>
      <c r="M70" s="97">
        <v>0</v>
      </c>
      <c r="N70" s="98">
        <v>0</v>
      </c>
      <c r="O70" s="99">
        <v>29.7</v>
      </c>
      <c r="P70" s="100">
        <v>0</v>
      </c>
      <c r="R70" s="18">
        <f t="shared" si="0"/>
        <v>47.7</v>
      </c>
    </row>
    <row r="71" spans="1:18" ht="28" x14ac:dyDescent="0.35">
      <c r="A71" s="89">
        <v>7892</v>
      </c>
      <c r="B71" s="23">
        <v>70947163</v>
      </c>
      <c r="C71" s="152" t="s">
        <v>73</v>
      </c>
      <c r="D71" s="90">
        <v>0</v>
      </c>
      <c r="E71" s="91">
        <v>9</v>
      </c>
      <c r="F71" s="92">
        <v>0</v>
      </c>
      <c r="G71" s="93">
        <v>0</v>
      </c>
      <c r="H71" s="94">
        <v>9</v>
      </c>
      <c r="I71" s="95">
        <v>0</v>
      </c>
      <c r="K71" s="234">
        <v>0</v>
      </c>
      <c r="L71" s="96">
        <v>10.5</v>
      </c>
      <c r="M71" s="97">
        <v>0</v>
      </c>
      <c r="N71" s="98">
        <v>0</v>
      </c>
      <c r="O71" s="99">
        <v>10.5</v>
      </c>
      <c r="P71" s="100">
        <v>0</v>
      </c>
      <c r="R71" s="18">
        <f t="shared" si="0"/>
        <v>19.5</v>
      </c>
    </row>
    <row r="72" spans="1:18" x14ac:dyDescent="0.35">
      <c r="A72" s="89">
        <v>7893</v>
      </c>
      <c r="B72" s="23">
        <v>68247630</v>
      </c>
      <c r="C72" s="118" t="s">
        <v>29</v>
      </c>
      <c r="D72" s="90">
        <v>50</v>
      </c>
      <c r="E72" s="91">
        <v>16.8</v>
      </c>
      <c r="F72" s="92">
        <v>16.899999999999999</v>
      </c>
      <c r="G72" s="93">
        <v>0.5</v>
      </c>
      <c r="H72" s="94">
        <v>84.2</v>
      </c>
      <c r="I72" s="95">
        <v>0.1212</v>
      </c>
      <c r="K72" s="234">
        <v>109</v>
      </c>
      <c r="L72" s="96">
        <v>31.68</v>
      </c>
      <c r="M72" s="97">
        <v>36.841999999999999</v>
      </c>
      <c r="N72" s="98">
        <v>1.0900000000000001</v>
      </c>
      <c r="O72" s="99">
        <v>178.61199999999999</v>
      </c>
      <c r="P72" s="100">
        <v>0.24199999999999999</v>
      </c>
      <c r="R72" s="18">
        <f t="shared" si="0"/>
        <v>262.81200000000001</v>
      </c>
    </row>
    <row r="73" spans="1:18" ht="28.5" thickBot="1" x14ac:dyDescent="0.4">
      <c r="A73" s="28">
        <v>7896</v>
      </c>
      <c r="B73" s="150">
        <v>75111586</v>
      </c>
      <c r="C73" s="151" t="s">
        <v>74</v>
      </c>
      <c r="D73" s="62">
        <v>24</v>
      </c>
      <c r="E73" s="63">
        <v>0</v>
      </c>
      <c r="F73" s="64">
        <v>8.1120000000000001</v>
      </c>
      <c r="G73" s="65">
        <v>0.24</v>
      </c>
      <c r="H73" s="66">
        <v>32.351999999999997</v>
      </c>
      <c r="I73" s="67">
        <v>4.5400000000000003E-2</v>
      </c>
      <c r="K73" s="235">
        <v>49.8</v>
      </c>
      <c r="L73" s="36">
        <v>0</v>
      </c>
      <c r="M73" s="37">
        <v>16.832000000000001</v>
      </c>
      <c r="N73" s="41">
        <v>0.498</v>
      </c>
      <c r="O73" s="44">
        <v>67.13</v>
      </c>
      <c r="P73" s="70">
        <v>0.09</v>
      </c>
      <c r="R73" s="19">
        <f t="shared" si="0"/>
        <v>99.481999999999999</v>
      </c>
    </row>
    <row r="74" spans="1:18" x14ac:dyDescent="0.35">
      <c r="C74" s="29" t="s">
        <v>12</v>
      </c>
      <c r="D74" s="20">
        <f t="shared" ref="D74:I74" si="1">SUM(D4:D73)</f>
        <v>1088.02</v>
      </c>
      <c r="E74" s="20">
        <f t="shared" si="1"/>
        <v>765.99999999999989</v>
      </c>
      <c r="F74" s="20">
        <f t="shared" si="1"/>
        <v>380.72900000000004</v>
      </c>
      <c r="G74" s="20">
        <f t="shared" si="1"/>
        <v>10.881</v>
      </c>
      <c r="H74" s="20">
        <f>SUM(H4:H73)</f>
        <v>2245.6299999999997</v>
      </c>
      <c r="I74" s="149">
        <f t="shared" si="1"/>
        <v>2.31839</v>
      </c>
      <c r="K74" s="20">
        <f t="shared" ref="K74:N74" si="2">SUM(K4:K73)</f>
        <v>2308.6970000000001</v>
      </c>
      <c r="L74" s="20">
        <f t="shared" si="2"/>
        <v>1165.8799999999999</v>
      </c>
      <c r="M74" s="20">
        <f t="shared" si="2"/>
        <v>780.3399999999998</v>
      </c>
      <c r="N74" s="20">
        <f t="shared" si="2"/>
        <v>23.085999999999999</v>
      </c>
      <c r="O74" s="20">
        <f>SUM(O4:O73)</f>
        <v>4278.0029999999997</v>
      </c>
      <c r="P74" s="21">
        <f>SUM(P4:P73)</f>
        <v>4.9376999999999995</v>
      </c>
      <c r="R74" s="20">
        <f>SUM(R4:R73)</f>
        <v>6523.6330000000007</v>
      </c>
    </row>
  </sheetData>
  <customSheetViews>
    <customSheetView guid="{A687C76D-0A25-4B23-B774-83E5858950A5}">
      <pane xSplit="3" ySplit="3" topLeftCell="D46" activePane="bottomRight" state="frozen"/>
      <selection pane="bottomRight" activeCell="G46" sqref="G46"/>
      <pageMargins left="0.7" right="0.7" top="0.78740157499999996" bottom="0.78740157499999996" header="0.3" footer="0.3"/>
    </customSheetView>
    <customSheetView guid="{C95316B6-A37E-4534-B810-A6A18951EFBB}">
      <pane xSplit="3" ySplit="3" topLeftCell="D4" activePane="bottomRight" state="frozen"/>
      <selection pane="bottomRight" activeCell="A51" sqref="A51:XFD51"/>
      <pageMargins left="0.7" right="0.7" top="0.78740157499999996" bottom="0.78740157499999996" header="0.3" footer="0.3"/>
    </customSheetView>
    <customSheetView guid="{EE87481B-D9DE-4AE9-91B4-0C77BAFFD3EF}">
      <pane xSplit="3" ySplit="3" topLeftCell="D61" activePane="bottomRight" state="frozen"/>
      <selection pane="bottomRight" activeCell="F62" sqref="F62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leden-srpen 2021</vt:lpstr>
      <vt:lpstr>rok 2021_2022</vt:lpstr>
      <vt:lpstr>rok 2022_2023 </vt:lpstr>
      <vt:lpstr>rok 2023_2024</vt:lpstr>
      <vt:lpstr>rok 2024_2025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Jarkovský Václav Ing.</dc:creator>
  <cp:lastModifiedBy>Stuchlíková Markéta PaedDr.</cp:lastModifiedBy>
  <cp:lastPrinted>2025-06-30T09:26:20Z</cp:lastPrinted>
  <dcterms:created xsi:type="dcterms:W3CDTF">2015-06-05T18:19:34Z</dcterms:created>
  <dcterms:modified xsi:type="dcterms:W3CDTF">2025-08-04T10:13:57Z</dcterms:modified>
</cp:coreProperties>
</file>