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1\32 RK\1743\"/>
    </mc:Choice>
  </mc:AlternateContent>
  <xr:revisionPtr revIDLastSave="0" documentId="8_{5F5BBFF0-1FF3-4DCF-8099-CBC280E0232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ukazatele PO 2021" sheetId="1" r:id="rId1"/>
    <sheet name="rekapitulace" sheetId="2" r:id="rId2"/>
    <sheet name="List3" sheetId="3" r:id="rId3"/>
  </sheets>
  <definedNames>
    <definedName name="_xlnm._FilterDatabase" localSheetId="0" hidden="1">'ukazatele PO 2021'!$A$5:$AE$77</definedName>
    <definedName name="_xlnm.Print_Titles" localSheetId="0">'ukazatele PO 2021'!$A:$D,'ukazatele PO 2021'!$1:$5</definedName>
    <definedName name="_xlnm.Print_Area" localSheetId="0">'ukazatele PO 2021'!$E$6:$AC$79</definedName>
    <definedName name="Z_15764750_8AF9_45DF_9450_B30F8151D6AB_.wvu.FilterData" localSheetId="0" hidden="1">'ukazatele PO 2021'!$A$5:$AE$77</definedName>
    <definedName name="Z_15764750_8AF9_45DF_9450_B30F8151D6AB_.wvu.PrintArea" localSheetId="0" hidden="1">'ukazatele PO 2021'!$E$6:$AC$79</definedName>
    <definedName name="Z_15764750_8AF9_45DF_9450_B30F8151D6AB_.wvu.PrintTitles" localSheetId="0" hidden="1">'ukazatele PO 2021'!$A:$D,'ukazatele PO 2021'!$1:$5</definedName>
    <definedName name="Z_1B36C436_7749_4D5A_85CF_465B4D5884E4_.wvu.FilterData" localSheetId="0" hidden="1">'ukazatele PO 2021'!$A$5:$AC$77</definedName>
    <definedName name="Z_1CE61FA3_EBE7_4A29_B370_8D18951A1C1D_.wvu.FilterData" localSheetId="0" hidden="1">'ukazatele PO 2021'!$A$5:$AC$77</definedName>
    <definedName name="Z_1DB03DC3_DD52_49CD_8072_4B719410EDF4_.wvu.PrintTitles" localSheetId="0" hidden="1">'ukazatele PO 2021'!$A:$D,'ukazatele PO 2021'!$1:$5</definedName>
    <definedName name="Z_24DDFE16_0A44_445E_B3CD_69FC7686A5EA_.wvu.FilterData" localSheetId="0" hidden="1">'ukazatele PO 2021'!$A$5:$AC$77</definedName>
    <definedName name="Z_3711CB97_B5D6_4ED8_A9AA_7656DE13F82B_.wvu.FilterData" localSheetId="0" hidden="1">'ukazatele PO 2021'!$A$5:$AC$77</definedName>
    <definedName name="Z_3D87B1E7_8F30_410C_A084_59D0CDA0B14F_.wvu.FilterData" localSheetId="0" hidden="1">'ukazatele PO 2021'!$A$5:$AC$77</definedName>
    <definedName name="Z_46411039_A072_4EB3_AF26_A3B4D92ABA58_.wvu.FilterData" localSheetId="0" hidden="1">'ukazatele PO 2021'!$A$5:$AC$77</definedName>
    <definedName name="Z_559A99CC_AB3F_4E64_AFDC_D58CD1B9EC4F_.wvu.FilterData" localSheetId="0" hidden="1">'ukazatele PO 2021'!$A$5:$AC$77</definedName>
    <definedName name="Z_5DDD0D1C_B93A_41C4_AA5B_A114FB693CCB_.wvu.FilterData" localSheetId="0" hidden="1">'ukazatele PO 2021'!$A$5:$AC$77</definedName>
    <definedName name="Z_6446DDEA_92FE_416B_AEE5_95BEA25DB15B_.wvu.FilterData" localSheetId="0" hidden="1">'ukazatele PO 2021'!#REF!</definedName>
    <definedName name="Z_70784625_D6AA_4827_8FB2_93D97FE1DFCE_.wvu.FilterData" localSheetId="0" hidden="1">'ukazatele PO 2021'!$A$5:$AE$77</definedName>
    <definedName name="Z_70784625_D6AA_4827_8FB2_93D97FE1DFCE_.wvu.PrintArea" localSheetId="0" hidden="1">'ukazatele PO 2021'!$E$6:$AC$79</definedName>
    <definedName name="Z_70784625_D6AA_4827_8FB2_93D97FE1DFCE_.wvu.PrintTitles" localSheetId="0" hidden="1">'ukazatele PO 2021'!$A:$D,'ukazatele PO 2021'!$1:$5</definedName>
    <definedName name="Z_70B75830_1D2B_4A2A_91AE_BD4A0E44DF19_.wvu.FilterData" localSheetId="0" hidden="1">'ukazatele PO 2021'!$A$5:$AC$77</definedName>
    <definedName name="Z_785058E2_7C2A_4ADC_8A05_7DDA1683F6B3_.wvu.FilterData" localSheetId="0" hidden="1">'ukazatele PO 2021'!$A$5:$AC$77</definedName>
    <definedName name="Z_7CC1FA3A_895C_48F2_A941_ABE1E0AA99FD_.wvu.PrintTitles" localSheetId="0" hidden="1">'ukazatele PO 2021'!$A:$D,'ukazatele PO 2021'!$1:$5</definedName>
    <definedName name="Z_814C2ED3_5018_423D_AA51_9DF08E04CE57_.wvu.FilterData" localSheetId="0" hidden="1">'ukazatele PO 2021'!$A$5:$AC$77</definedName>
    <definedName name="Z_985903A9_9AC0_4EEF_B3E6_551C22113BEE_.wvu.FilterData" localSheetId="0" hidden="1">'ukazatele PO 2021'!$A$5:$AC$77</definedName>
    <definedName name="Z_985903A9_9AC0_4EEF_B3E6_551C22113BEE_.wvu.PrintTitles" localSheetId="0" hidden="1">'ukazatele PO 2021'!$A:$D,'ukazatele PO 2021'!$1:$5</definedName>
    <definedName name="Z_ACB0CF54_59A6_40F0_ACFB_19E40FA9D8EC_.wvu.FilterData" localSheetId="0" hidden="1">'ukazatele PO 2021'!$A$5:$AC$77</definedName>
    <definedName name="Z_B5644001_46E8_4A6D_8484_E9B7B1F663C6_.wvu.FilterData" localSheetId="0" hidden="1">'ukazatele PO 2021'!$A$5:$AC$77</definedName>
    <definedName name="Z_B5644001_46E8_4A6D_8484_E9B7B1F663C6_.wvu.PrintArea" localSheetId="0" hidden="1">'ukazatele PO 2021'!$E$6:$AC$83</definedName>
    <definedName name="Z_B5644001_46E8_4A6D_8484_E9B7B1F663C6_.wvu.PrintTitles" localSheetId="0" hidden="1">'ukazatele PO 2021'!$A:$D,'ukazatele PO 2021'!$1:$5</definedName>
    <definedName name="Z_B56BB743_ACD1_4F1C_A4EC_86D4E390A4F0_.wvu.FilterData" localSheetId="0" hidden="1">'ukazatele PO 2021'!$A$5:$AE$77</definedName>
    <definedName name="Z_B56BB743_ACD1_4F1C_A4EC_86D4E390A4F0_.wvu.PrintArea" localSheetId="0" hidden="1">'ukazatele PO 2021'!$E$6:$AC$83</definedName>
    <definedName name="Z_B56BB743_ACD1_4F1C_A4EC_86D4E390A4F0_.wvu.PrintTitles" localSheetId="0" hidden="1">'ukazatele PO 2021'!$A:$D,'ukazatele PO 2021'!$1:$5</definedName>
    <definedName name="Z_BBB16494_D12E_4DB7_A0CC_8D364B8AC92C_.wvu.FilterData" localSheetId="0" hidden="1">'ukazatele PO 2021'!$A$5:$AC$77</definedName>
    <definedName name="Z_BD206193_A9CB_4FB5_800C_FE0571FD5AED_.wvu.FilterData" localSheetId="0" hidden="1">'ukazatele PO 2021'!$A$5:$AC$77</definedName>
    <definedName name="Z_BD206193_A9CB_4FB5_800C_FE0571FD5AED_.wvu.PrintTitles" localSheetId="0" hidden="1">'ukazatele PO 2021'!$A:$D,'ukazatele PO 2021'!$1:$5</definedName>
    <definedName name="Z_BD2ABD2E_5B85_4A66_8C4D_5AC8420C2B3B_.wvu.FilterData" localSheetId="0" hidden="1">'ukazatele PO 2021'!$A$5:$AC$77</definedName>
    <definedName name="Z_BD2ABD2E_5B85_4A66_8C4D_5AC8420C2B3B_.wvu.PrintArea" localSheetId="0" hidden="1">'ukazatele PO 2021'!$E$6:$AC$83</definedName>
    <definedName name="Z_BD2ABD2E_5B85_4A66_8C4D_5AC8420C2B3B_.wvu.PrintTitles" localSheetId="0" hidden="1">'ukazatele PO 2021'!$A:$D,'ukazatele PO 2021'!$1:$5</definedName>
    <definedName name="Z_BD5456A6_45E9_42B7_B375_15E458E94A45_.wvu.FilterData" localSheetId="0" hidden="1">'ukazatele PO 2021'!$A$5:$AE$77</definedName>
    <definedName name="Z_BD5456A6_45E9_42B7_B375_15E458E94A45_.wvu.PrintArea" localSheetId="0" hidden="1">'ukazatele PO 2021'!$E$6:$AC$79</definedName>
    <definedName name="Z_BD5456A6_45E9_42B7_B375_15E458E94A45_.wvu.PrintTitles" localSheetId="0" hidden="1">'ukazatele PO 2021'!$A:$D,'ukazatele PO 2021'!$1:$5</definedName>
    <definedName name="Z_C01FF8DB_979A_4563_96BF_3D7D77CD9917_.wvu.FilterData" localSheetId="0" hidden="1">'ukazatele PO 2021'!$A$5:$AC$77</definedName>
    <definedName name="Z_C5553868_B1BC_42AA_B251_130824B1493F_.wvu.FilterData" localSheetId="0" hidden="1">'ukazatele PO 2021'!$A$5:$AC$77</definedName>
    <definedName name="Z_C5553868_B1BC_42AA_B251_130824B1493F_.wvu.PrintTitles" localSheetId="0" hidden="1">'ukazatele PO 2021'!$A:$D,'ukazatele PO 2021'!$1:$5</definedName>
    <definedName name="Z_E2BAD781_B908_4E25_8A16_863F13627893_.wvu.FilterData" localSheetId="0" hidden="1">'ukazatele PO 2021'!#REF!</definedName>
    <definedName name="Z_E469200E_E45B_48BF_9EDA_B3574152690B_.wvu.FilterData" localSheetId="0" hidden="1">'ukazatele PO 2021'!$A$5:$AC$77</definedName>
    <definedName name="Z_E469200E_E45B_48BF_9EDA_B3574152690B_.wvu.PrintArea" localSheetId="0" hidden="1">'ukazatele PO 2021'!$E$6:$AC$83</definedName>
    <definedName name="Z_E469200E_E45B_48BF_9EDA_B3574152690B_.wvu.PrintTitles" localSheetId="0" hidden="1">'ukazatele PO 2021'!$A:$D,'ukazatele PO 2021'!$1:$5</definedName>
    <definedName name="Z_ECA95C7A_EFD8_4EC4_85A2_34F63C8C25EF_.wvu.Cols" localSheetId="0" hidden="1">'ukazatele PO 2021'!$C:$C,'ukazatele PO 2021'!$P:$P</definedName>
    <definedName name="Z_ECA95C7A_EFD8_4EC4_85A2_34F63C8C25EF_.wvu.FilterData" localSheetId="0" hidden="1">'ukazatele PO 2021'!$A$5:$AE$77</definedName>
    <definedName name="Z_ECA95C7A_EFD8_4EC4_85A2_34F63C8C25EF_.wvu.PrintArea" localSheetId="0" hidden="1">'ukazatele PO 2021'!$E$6:$AC$79</definedName>
    <definedName name="Z_ECA95C7A_EFD8_4EC4_85A2_34F63C8C25EF_.wvu.PrintTitles" localSheetId="0" hidden="1">'ukazatele PO 2021'!$A:$D,'ukazatele PO 2021'!$1:$5</definedName>
    <definedName name="Z_EED36F6C_4B23_4EC3_A792_F512A3A0A1BF_.wvu.FilterData" localSheetId="0" hidden="1">'ukazatele PO 2021'!$A$5:$AC$77</definedName>
    <definedName name="Z_F16D7810_E640_4938_87BE_94D88F15A757_.wvu.FilterData" localSheetId="0" hidden="1">'ukazatele PO 2021'!$A$5:$AC$77</definedName>
    <definedName name="Z_F34D93BB_303C_41D4_86BF_175561CF63A4_.wvu.FilterData" localSheetId="0" hidden="1">'ukazatele PO 2021'!$A$5:$AC$77</definedName>
    <definedName name="Z_F34D93BB_303C_41D4_86BF_175561CF63A4_.wvu.PrintArea" localSheetId="0" hidden="1">'ukazatele PO 2021'!$E$6:$AC$83</definedName>
    <definedName name="Z_F34D93BB_303C_41D4_86BF_175561CF63A4_.wvu.PrintTitles" localSheetId="0" hidden="1">'ukazatele PO 2021'!$A:$D,'ukazatele PO 2021'!$1:$5</definedName>
    <definedName name="Z_F5B00F23_DA0B_42B9_AD97_CFC591C28BB9_.wvu.FilterData" localSheetId="0" hidden="1">'ukazatele PO 2021'!$A$5:$AC$77</definedName>
    <definedName name="Z_F92311DB_0154_4A3E_91D0_B76A8C2D3680_.wvu.FilterData" localSheetId="0" hidden="1">'ukazatele PO 2021'!$A$5:$AC$77</definedName>
    <definedName name="Z_F9CC7C0A_8455_4B23_89B8_6EAC226AC099_.wvu.FilterData" localSheetId="0" hidden="1">'ukazatele PO 2021'!$A$5:$AC$77</definedName>
    <definedName name="Z_F9CC7C0A_8455_4B23_89B8_6EAC226AC099_.wvu.PrintTitles" localSheetId="0" hidden="1">'ukazatele PO 2021'!$A:$D,'ukazatele PO 2021'!$1:$5</definedName>
    <definedName name="Z_FF8EF754_D27D_47C8_B959_B99C0443677D_.wvu.FilterData" localSheetId="0" hidden="1">'ukazatele PO 2021'!$A$5:$AC$77</definedName>
  </definedNames>
  <calcPr calcId="191029"/>
  <customWorkbookViews>
    <customWorkbookView name="Dědková Radka Ing. – osobní zobrazení" guid="{70784625-D6AA-4827-8FB2-93D97FE1DFCE}" mergeInterval="0" personalView="1" maximized="1" xWindow="-8" yWindow="-8" windowWidth="1936" windowHeight="1056" activeSheetId="1"/>
    <customWorkbookView name="Beskydová Sabina Ing. – osobní zobrazení" guid="{BD5456A6-45E9-42B7-B375-15E458E94A45}" mergeInterval="0" personalView="1" maximized="1" xWindow="-8" yWindow="-8" windowWidth="1936" windowHeight="1056" activeSheetId="1"/>
    <customWorkbookView name="395 – osobní zobrazení" guid="{F34D93BB-303C-41D4-86BF-175561CF63A4}" mergeInterval="0" personalView="1" xWindow="129" yWindow="11" windowWidth="1791" windowHeight="1021" activeSheetId="1"/>
    <customWorkbookView name="340 – osobní zobrazení" guid="{E469200E-E45B-48BF-9EDA-B3574152690B}" mergeInterval="0" personalView="1" maximized="1" xWindow="-8" yWindow="-8" windowWidth="1616" windowHeight="876" activeSheetId="1"/>
    <customWorkbookView name="Jan Vaníček – osobní zobrazení" guid="{985903A9-9AC0-4EEF-B3E6-551C22113BEE}" mergeInterval="0" personalView="1" maximized="1" xWindow="-8" yWindow="-8" windowWidth="1936" windowHeight="1056" activeSheetId="1"/>
    <customWorkbookView name="Václav Jarkovský - vlastní zobrazení" guid="{F9CC7C0A-8455-4B23-89B8-6EAC226AC099}" mergeInterval="0" personalView="1" maximized="1" xWindow="1" yWindow="1" windowWidth="1276" windowHeight="794" activeSheetId="1"/>
    <customWorkbookView name="Dana Třísková – osobní zobrazení" guid="{C5553868-B1BC-42AA-B251-130824B1493F}" mergeInterval="0" personalView="1" maximized="1" xWindow="-9" yWindow="-9" windowWidth="1791" windowHeight="1098" activeSheetId="1"/>
    <customWorkbookView name="Jan Vaníček - vlastní zobrazení" guid="{7CC1FA3A-895C-48F2-A941-ABE1E0AA99FD}" mergeInterval="0" personalView="1" xWindow="9" yWindow="31" windowWidth="1264" windowHeight="803" activeSheetId="1"/>
    <customWorkbookView name="395 - vlastní zobrazení" guid="{1DB03DC3-DD52-49CD-8072-4B719410EDF4}" mergeInterval="0" personalView="1" maximized="1" xWindow="1" yWindow="1" windowWidth="1916" windowHeight="755" activeSheetId="1"/>
    <customWorkbookView name="213 – osobní zobrazení" guid="{BD206193-A9CB-4FB5-800C-FE0571FD5AED}" mergeInterval="0" personalView="1" maximized="1" xWindow="-8" yWindow="-8" windowWidth="1936" windowHeight="1056" activeSheetId="1"/>
    <customWorkbookView name="tatka – osobní zobrazení" guid="{B5644001-46E8-4A6D-8484-E9B7B1F663C6}" mergeInterval="0" personalView="1" xWindow="1" windowWidth="1072" windowHeight="1390" activeSheetId="1"/>
    <customWorkbookView name="Bonhard Jiří Ing. – osobní zobrazení" guid="{BD2ABD2E-5B85-4A66-8C4D-5AC8420C2B3B}" mergeInterval="0" personalView="1" maximized="1" xWindow="-9" yWindow="-9" windowWidth="1938" windowHeight="1048" activeSheetId="1"/>
    <customWorkbookView name="Kopřivová Alena – osobní zobrazení" guid="{15764750-8AF9-45DF-9450-B30F8151D6AB}" mergeInterval="0" personalView="1" xWindow="32" yWindow="32" windowWidth="1800" windowHeight="942" activeSheetId="1"/>
    <customWorkbookView name="Steklíková Dagmar – osobní zobrazení" guid="{B56BB743-ACD1-4F1C-A4EC-86D4E390A4F0}" mergeInterval="0" personalView="1" maximized="1" xWindow="-9" yWindow="-9" windowWidth="1938" windowHeight="1048" activeSheetId="1"/>
    <customWorkbookView name="Jarkovský Václav Ing. – osobní zobrazení" guid="{ECA95C7A-EFD8-4EC4-85A2-34F63C8C25EF}" mergeInterval="0" personalView="1" xWindow="868" yWindow="3" windowWidth="1051" windowHeight="1030" activeSheetId="2"/>
  </customWorkbookViews>
</workbook>
</file>

<file path=xl/calcChain.xml><?xml version="1.0" encoding="utf-8"?>
<calcChain xmlns="http://schemas.openxmlformats.org/spreadsheetml/2006/main">
  <c r="M11" i="2" l="1"/>
  <c r="M13" i="2" s="1"/>
  <c r="M79" i="1" l="1"/>
  <c r="C9" i="2" s="1"/>
  <c r="D9" i="2" s="1"/>
  <c r="X21" i="1" l="1"/>
  <c r="X50" i="1" l="1"/>
  <c r="X68" i="1" l="1"/>
  <c r="X64" i="1" l="1"/>
  <c r="X54" i="1"/>
  <c r="X55" i="1"/>
  <c r="X53" i="1"/>
  <c r="X45" i="1"/>
  <c r="X43" i="1"/>
  <c r="X36" i="1"/>
  <c r="X32" i="1"/>
  <c r="X34" i="1"/>
  <c r="X29" i="1"/>
  <c r="X18" i="1"/>
  <c r="X16" i="1"/>
  <c r="X14" i="1"/>
  <c r="X12" i="1"/>
  <c r="X11" i="1"/>
  <c r="X6" i="1" l="1"/>
  <c r="X51" i="1" l="1"/>
  <c r="X40" i="1"/>
  <c r="X49" i="1" l="1"/>
  <c r="X39" i="1"/>
  <c r="X42" i="1" l="1"/>
  <c r="AA77" i="1" l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N13" i="2" l="1"/>
  <c r="L13" i="2"/>
  <c r="D27" i="2" s="1"/>
  <c r="K13" i="2"/>
  <c r="K79" i="1"/>
  <c r="C7" i="2" s="1"/>
  <c r="D7" i="2" s="1"/>
  <c r="N79" i="1"/>
  <c r="C10" i="2" s="1"/>
  <c r="S6" i="1"/>
  <c r="W79" i="1"/>
  <c r="X9" i="1" l="1"/>
  <c r="T75" i="1" l="1"/>
  <c r="AC77" i="1" l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T31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Y79" i="1" l="1"/>
  <c r="X79" i="1" l="1"/>
  <c r="AB77" i="1" l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E63" i="1" s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T77" i="1"/>
  <c r="T76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S25" i="1" l="1"/>
  <c r="AE25" i="1"/>
  <c r="S64" i="1"/>
  <c r="AE64" i="1"/>
  <c r="S48" i="1"/>
  <c r="AE48" i="1"/>
  <c r="S46" i="1"/>
  <c r="AE46" i="1"/>
  <c r="S27" i="1"/>
  <c r="AE27" i="1"/>
  <c r="S11" i="1"/>
  <c r="AE11" i="1"/>
  <c r="S62" i="1"/>
  <c r="AE62" i="1"/>
  <c r="S69" i="1"/>
  <c r="AE69" i="1"/>
  <c r="S38" i="1"/>
  <c r="AE38" i="1"/>
  <c r="S18" i="1"/>
  <c r="AE18" i="1"/>
  <c r="S75" i="1"/>
  <c r="AE75" i="1"/>
  <c r="S21" i="1"/>
  <c r="AE21" i="1"/>
  <c r="S76" i="1"/>
  <c r="AE76" i="1"/>
  <c r="S60" i="1"/>
  <c r="AE60" i="1"/>
  <c r="S71" i="1"/>
  <c r="AE71" i="1"/>
  <c r="S39" i="1"/>
  <c r="AE39" i="1"/>
  <c r="S23" i="1"/>
  <c r="AE23" i="1"/>
  <c r="S74" i="1"/>
  <c r="AE74" i="1"/>
  <c r="S42" i="1"/>
  <c r="AE42" i="1"/>
  <c r="S32" i="1"/>
  <c r="AE32" i="1"/>
  <c r="S24" i="1"/>
  <c r="AE24" i="1"/>
  <c r="S12" i="1"/>
  <c r="AE12" i="1"/>
  <c r="S73" i="1"/>
  <c r="AE73" i="1"/>
  <c r="S45" i="1"/>
  <c r="AE45" i="1"/>
  <c r="S33" i="1"/>
  <c r="AE33" i="1"/>
  <c r="S17" i="1"/>
  <c r="AE17" i="1"/>
  <c r="S72" i="1"/>
  <c r="AE72" i="1"/>
  <c r="S56" i="1"/>
  <c r="AE56" i="1"/>
  <c r="S70" i="1"/>
  <c r="AE70" i="1"/>
  <c r="S63" i="1"/>
  <c r="S35" i="1"/>
  <c r="AE35" i="1"/>
  <c r="S19" i="1"/>
  <c r="AE19" i="1"/>
  <c r="S50" i="1"/>
  <c r="AE50" i="1"/>
  <c r="S40" i="1"/>
  <c r="AE40" i="1"/>
  <c r="S36" i="1"/>
  <c r="AE36" i="1"/>
  <c r="S22" i="1"/>
  <c r="AE22" i="1"/>
  <c r="S59" i="1"/>
  <c r="AE59" i="1"/>
  <c r="S53" i="1"/>
  <c r="AE53" i="1"/>
  <c r="S37" i="1"/>
  <c r="AE37" i="1"/>
  <c r="S9" i="1"/>
  <c r="AE9" i="1"/>
  <c r="S47" i="1"/>
  <c r="AE47" i="1"/>
  <c r="S65" i="1"/>
  <c r="AE65" i="1"/>
  <c r="S57" i="1"/>
  <c r="AE57" i="1"/>
  <c r="S49" i="1"/>
  <c r="AE49" i="1"/>
  <c r="AE6" i="1"/>
  <c r="S28" i="1"/>
  <c r="AE28" i="1"/>
  <c r="S16" i="1"/>
  <c r="AE16" i="1"/>
  <c r="S8" i="1"/>
  <c r="AE8" i="1"/>
  <c r="S61" i="1"/>
  <c r="AE61" i="1"/>
  <c r="S41" i="1"/>
  <c r="AE41" i="1"/>
  <c r="S29" i="1"/>
  <c r="AE29" i="1"/>
  <c r="S13" i="1"/>
  <c r="AE13" i="1"/>
  <c r="S68" i="1"/>
  <c r="AE68" i="1"/>
  <c r="S52" i="1"/>
  <c r="AE52" i="1"/>
  <c r="S54" i="1"/>
  <c r="AE54" i="1"/>
  <c r="S55" i="1"/>
  <c r="AE55" i="1"/>
  <c r="S31" i="1"/>
  <c r="AE31" i="1"/>
  <c r="S15" i="1"/>
  <c r="AE15" i="1"/>
  <c r="S66" i="1"/>
  <c r="AE66" i="1"/>
  <c r="S58" i="1"/>
  <c r="AE58" i="1"/>
  <c r="S44" i="1"/>
  <c r="AE44" i="1"/>
  <c r="S34" i="1"/>
  <c r="AE34" i="1"/>
  <c r="S30" i="1"/>
  <c r="AE30" i="1"/>
  <c r="S26" i="1"/>
  <c r="AE26" i="1"/>
  <c r="S20" i="1"/>
  <c r="AE20" i="1"/>
  <c r="S14" i="1"/>
  <c r="AE14" i="1"/>
  <c r="S10" i="1"/>
  <c r="AE10" i="1"/>
  <c r="S77" i="1"/>
  <c r="AE77" i="1"/>
  <c r="S67" i="1"/>
  <c r="AE67" i="1"/>
  <c r="S51" i="1"/>
  <c r="AE51" i="1"/>
  <c r="S43" i="1"/>
  <c r="AE43" i="1"/>
  <c r="S7" i="1"/>
  <c r="AE7" i="1"/>
  <c r="O79" i="1" l="1"/>
  <c r="E6" i="2" s="1"/>
  <c r="I79" i="1" l="1"/>
  <c r="H13" i="2" l="1"/>
  <c r="G13" i="2"/>
  <c r="F13" i="2"/>
  <c r="J79" i="1" l="1"/>
  <c r="C6" i="2" s="1"/>
  <c r="V79" i="1" l="1"/>
  <c r="G79" i="1" l="1"/>
  <c r="AB79" i="1" l="1"/>
  <c r="D6" i="2"/>
  <c r="E13" i="2" l="1"/>
  <c r="T79" i="1" l="1"/>
  <c r="D28" i="2" l="1"/>
  <c r="D26" i="2"/>
  <c r="D21" i="2"/>
  <c r="P79" i="1"/>
  <c r="L79" i="1"/>
  <c r="C8" i="2" s="1"/>
  <c r="D8" i="2" s="1"/>
  <c r="H79" i="1"/>
  <c r="F79" i="1"/>
  <c r="E79" i="1"/>
  <c r="C13" i="2" l="1"/>
  <c r="D20" i="2" s="1"/>
  <c r="AA79" i="1"/>
  <c r="S79" i="1"/>
  <c r="R79" i="1"/>
  <c r="AC79" i="1" l="1"/>
  <c r="Q79" i="1"/>
  <c r="J10" i="2" s="1"/>
  <c r="J13" i="2" s="1"/>
  <c r="D10" i="2" l="1"/>
  <c r="D13" i="2" s="1"/>
  <c r="U79" i="1"/>
  <c r="D25" i="2" l="1"/>
  <c r="M15" i="2"/>
  <c r="D22" i="2"/>
  <c r="G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Steklíková Dagmar</author>
    <author>Jarkovský Václav Ing.</author>
    <author>Kopřivová Alena</author>
    <author>Beskydová Sabina Ing.</author>
  </authors>
  <commentList>
    <comment ref="J6" authorId="0" shapeId="0" xr:uid="{8DBAFC3E-6F75-4D67-ADB1-7747870161EA}">
      <text>
        <r>
          <rPr>
            <b/>
            <sz val="9"/>
            <color indexed="81"/>
            <rFont val="Tahoma"/>
            <charset val="1"/>
          </rPr>
          <t>Steklíková Dagmar:</t>
        </r>
        <r>
          <rPr>
            <sz val="9"/>
            <color indexed="81"/>
            <rFont val="Tahoma"/>
            <charset val="1"/>
          </rPr>
          <t xml:space="preserve">
oprava: zasláno dosud 4,38 - mělo být ccelkem 4,74: viz email z 1.9.2021
</t>
        </r>
      </text>
    </comment>
    <comment ref="I12" authorId="1" shapeId="0" xr:uid="{5BC59FF0-DEF6-4BA3-B189-F5B750076B05}">
      <text>
        <r>
          <rPr>
            <sz val="9"/>
            <color indexed="81"/>
            <rFont val="Tahoma"/>
            <family val="2"/>
            <charset val="238"/>
          </rPr>
          <t xml:space="preserve">skříně a stoly pro vybavení 2 nových dílen (již se v nich učí) - z požad. na rok 2022
</t>
        </r>
      </text>
    </comment>
    <comment ref="M15" authorId="1" shapeId="0" xr:uid="{2529F7AE-9749-4626-90B4-8EF17BC0AB43}">
      <text>
        <r>
          <rPr>
            <sz val="9"/>
            <color indexed="81"/>
            <rFont val="Tahoma"/>
            <family val="2"/>
            <charset val="238"/>
          </rPr>
          <t xml:space="preserve">již přiděleno dříve
</t>
        </r>
      </text>
    </comment>
    <comment ref="Y21" authorId="0" shapeId="0" xr:uid="{88FC3695-A56D-4206-9AB7-011A79592893}">
      <text>
        <r>
          <rPr>
            <b/>
            <sz val="9"/>
            <color indexed="81"/>
            <rFont val="Tahoma"/>
            <charset val="1"/>
          </rPr>
          <t>Steklíková Dagmar:</t>
        </r>
        <r>
          <rPr>
            <sz val="9"/>
            <color indexed="81"/>
            <rFont val="Tahoma"/>
            <charset val="1"/>
          </rPr>
          <t xml:space="preserve">
dle žádosti ze dne 7.9.2021
</t>
        </r>
      </text>
    </comment>
    <comment ref="I22" authorId="1" shapeId="0" xr:uid="{5515C933-8AFA-4BB0-9C5A-952993BF89B5}">
      <text>
        <r>
          <rPr>
            <sz val="9"/>
            <color indexed="81"/>
            <rFont val="Tahoma"/>
            <family val="2"/>
            <charset val="238"/>
          </rPr>
          <t xml:space="preserve">přísp. na vybavení PC učebny 10 stanicemi - současné již silně zastaralé - dle pož. na rok 2022
</t>
        </r>
      </text>
    </comment>
    <comment ref="O27" authorId="0" shapeId="0" xr:uid="{21B6F32A-93EB-4BC0-A318-C45337995B17}">
      <text>
        <r>
          <rPr>
            <b/>
            <sz val="9"/>
            <color indexed="81"/>
            <rFont val="Tahoma"/>
            <charset val="1"/>
          </rPr>
          <t>Steklíková Dagmar:</t>
        </r>
        <r>
          <rPr>
            <sz val="9"/>
            <color indexed="81"/>
            <rFont val="Tahoma"/>
            <charset val="1"/>
          </rPr>
          <t xml:space="preserve">
72,213 nový server????!!!!
</t>
        </r>
      </text>
    </comment>
    <comment ref="Q27" authorId="0" shapeId="0" xr:uid="{DF4B6789-9C99-45FE-818D-73407608990E}">
      <text>
        <r>
          <rPr>
            <b/>
            <sz val="9"/>
            <color indexed="81"/>
            <rFont val="Tahoma"/>
            <charset val="1"/>
          </rPr>
          <t>Steklíková Dagmar:</t>
        </r>
        <r>
          <rPr>
            <sz val="9"/>
            <color indexed="81"/>
            <rFont val="Tahoma"/>
            <charset val="1"/>
          </rPr>
          <t xml:space="preserve">
??? Celé odvod???? Neměli žádné odpisy
</t>
        </r>
      </text>
    </comment>
    <comment ref="I32" authorId="2" shapeId="0" xr:uid="{59E55779-30C7-43C3-92DF-FF34EE36D966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zhotovení cen Firma škole, škola firmě
</t>
        </r>
      </text>
    </comment>
    <comment ref="I33" authorId="2" shapeId="0" xr:uid="{3EC27B06-24E1-40FC-A38C-9D60A3683FB5}">
      <text>
        <r>
          <rPr>
            <b/>
            <sz val="9"/>
            <color indexed="81"/>
            <rFont val="Tahoma"/>
            <charset val="1"/>
          </rPr>
          <t>Kopřivová Alena:</t>
        </r>
        <r>
          <rPr>
            <sz val="9"/>
            <color indexed="81"/>
            <rFont val="Tahoma"/>
            <charset val="1"/>
          </rPr>
          <t xml:space="preserve">
2 ntb pro učitele
</t>
        </r>
      </text>
    </comment>
    <comment ref="O40" authorId="1" shapeId="0" xr:uid="{C4153520-BDD2-48B6-8446-D8922639656A}">
      <text>
        <r>
          <rPr>
            <sz val="9"/>
            <color indexed="81"/>
            <rFont val="Tahoma"/>
            <family val="2"/>
            <charset val="238"/>
          </rPr>
          <t xml:space="preserve">nákup nového serveru
- vyřešeno z RF a FI
</t>
        </r>
      </text>
    </comment>
    <comment ref="G43" authorId="3" shapeId="0" xr:uid="{4DE5A263-CA2A-4C6A-AFCF-E9D8EE590155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kofi kap. 21
</t>
        </r>
      </text>
    </comment>
    <comment ref="I45" authorId="3" shapeId="0" xr:uid="{03513A15-CF37-40BA-B146-C604E85BFE1C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přesun polytechnika z investic do neinvestic 19,0511</t>
        </r>
      </text>
    </comment>
    <comment ref="O45" authorId="3" shapeId="0" xr:uid="{B3742732-B973-40B5-9D51-88131543AFE0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přesun polytechnika - investice do neinvestic 19,0511</t>
        </r>
      </text>
    </comment>
    <comment ref="I48" authorId="1" shapeId="0" xr:uid="{F68431ED-6DFA-4EDE-A240-1056A3FFB38E}">
      <text>
        <r>
          <rPr>
            <sz val="9"/>
            <color indexed="81"/>
            <rFont val="Tahoma"/>
            <family val="2"/>
            <charset val="238"/>
          </rPr>
          <t xml:space="preserve">přísp. na obnovu postelí a matrací v DD - z pož. na rok 2022
</t>
        </r>
      </text>
    </comment>
    <comment ref="J50" authorId="2" shapeId="0" xr:uid="{AB2BF382-75DE-49FC-BFBA-E997D8358636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4x vč. Odvodů
</t>
        </r>
      </text>
    </comment>
    <comment ref="Y50" authorId="2" shapeId="0" xr:uid="{218B3053-6642-42FB-B2FC-0DBAABC8A477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nostrifikace 4x872
</t>
        </r>
      </text>
    </comment>
    <comment ref="I52" authorId="1" shapeId="0" xr:uid="{345DA644-EE98-4890-9ECB-3B510B3E46A1}">
      <text>
        <r>
          <rPr>
            <sz val="9"/>
            <color indexed="81"/>
            <rFont val="Tahoma"/>
            <family val="2"/>
            <charset val="238"/>
          </rPr>
          <t xml:space="preserve">přísp. na vybavení nové učebny fiktivní firmy - z požad. na rok 2022
</t>
        </r>
      </text>
    </comment>
    <comment ref="I54" authorId="2" shapeId="0" xr:uid="{1A657785-F014-4762-9179-1380BEBB9D00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vybavení truhlárny Na Jamách, oživený obor
- drobné nářadí
</t>
        </r>
      </text>
    </comment>
    <comment ref="I58" authorId="2" shapeId="0" xr:uid="{2EEE921B-3361-49F9-B3DF-502E9E5E0F2F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ubytování chovanců po dobu reko, penzion Stará pošta
</t>
        </r>
      </text>
    </comment>
    <comment ref="I63" authorId="1" shapeId="0" xr:uid="{0EE8D64E-F7B0-4982-8A5B-39ACEE5DB128}">
      <text>
        <r>
          <rPr>
            <sz val="9"/>
            <color indexed="81"/>
            <rFont val="Tahoma"/>
            <family val="2"/>
            <charset val="238"/>
          </rPr>
          <t>příspěvek na uspořádání konference Czechcybertron dne 6.10.2021</t>
        </r>
      </text>
    </comment>
    <comment ref="Y68" authorId="2" shapeId="0" xr:uid="{C0965E1A-8C61-45B4-82D4-6E5DDC1B4B59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navýšení odměn učňům práce ve prospěch školy
</t>
        </r>
      </text>
    </comment>
  </commentList>
</comments>
</file>

<file path=xl/sharedStrings.xml><?xml version="1.0" encoding="utf-8"?>
<sst xmlns="http://schemas.openxmlformats.org/spreadsheetml/2006/main" count="180" uniqueCount="157">
  <si>
    <t>org.</t>
  </si>
  <si>
    <t>ODPA</t>
  </si>
  <si>
    <t>z toho kryté
odpisy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</si>
  <si>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</si>
  <si>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</si>
  <si>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</si>
  <si>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průmyslová škola, Střední odborná škola a Střední odborné učiliště, Hradec Králové, Hradební 1029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</si>
  <si>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</si>
  <si>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</si>
  <si>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</si>
  <si>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</si>
  <si>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</si>
  <si>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</si>
  <si>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třída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</si>
  <si>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</si>
  <si>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</si>
  <si>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</si>
  <si>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</si>
  <si>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</si>
  <si>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</si>
  <si>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</si>
  <si>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</si>
  <si>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</si>
  <si>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</si>
  <si>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</si>
  <si>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</si>
  <si>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</si>
  <si>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</si>
  <si>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</si>
  <si>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</si>
  <si>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</si>
  <si>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</si>
  <si>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</si>
  <si>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</si>
  <si>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</si>
  <si>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</si>
  <si>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</si>
  <si>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</si>
  <si>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</si>
  <si>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a Mateřská škola, Vrchlabí, Krkonošská 230</t>
  </si>
  <si>
    <t>Základní škola logopedická a Mateřská škola logopedická, Choustníkovo Hradiště 161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</si>
  <si>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</si>
  <si>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</si>
  <si>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</si>
  <si>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CELKEM</t>
  </si>
  <si>
    <t>Dětský domov, Potštejn, Českých bratří 141</t>
  </si>
  <si>
    <t>částky v tis. Kč</t>
  </si>
  <si>
    <t xml:space="preserve">  rozpočet po úpravách</t>
  </si>
  <si>
    <t>úpr. přísp. na provoz
akt. odpisů</t>
  </si>
  <si>
    <t>Organizace zřízené Královéhradeckým krajem</t>
  </si>
  <si>
    <t>příspěvkové organizace</t>
  </si>
  <si>
    <t>Změna příjmů odvětví školství</t>
  </si>
  <si>
    <t>příspěvek na provoz PO
5331</t>
  </si>
  <si>
    <t>FRR pro
školství</t>
  </si>
  <si>
    <t>odvody 
z IF PO
kap. 14</t>
  </si>
  <si>
    <t>ostatní 
odvody PO
kap. 14</t>
  </si>
  <si>
    <t>Navrhovaná změna:</t>
  </si>
  <si>
    <t>změna výdajů z kap. 14 celkem:</t>
  </si>
  <si>
    <t>tis. Kč</t>
  </si>
  <si>
    <t xml:space="preserve"> změna příjmů celkem:</t>
  </si>
  <si>
    <t>Rekapitulace úprav souhrnných ukazatelů pro odvětví školství</t>
  </si>
  <si>
    <t>změna příspěvků na provoz PO</t>
  </si>
  <si>
    <t>změna ostatních běžných výdajů kap 14</t>
  </si>
  <si>
    <t>příjmy kap. 14 - ostatní odvody PO</t>
  </si>
  <si>
    <t>kapitálové příjmy kap. 14</t>
  </si>
  <si>
    <t>Střední průmyslová škola stavební, Hradec Králové, Pospíšilova tř. 787</t>
  </si>
  <si>
    <t>Gymnázium Jaroslava Žáka, Jaroměř, Lužická 423</t>
  </si>
  <si>
    <t>Česká lesnická akademie Trutnov-střední škola a vyšší odborná škola, Lesnická 9</t>
  </si>
  <si>
    <t>Základní škola a Mateřská škola při dětské léčebně, Jánské Lázně, Horní promenáda 268</t>
  </si>
  <si>
    <t>Mateřská škola, Základní škola a Praktická škola, Trutnov</t>
  </si>
  <si>
    <t>změny +/- z rozpočtu kraje (kap. 14)</t>
  </si>
  <si>
    <t>příspěvek na provoz po úpravě</t>
  </si>
  <si>
    <t xml:space="preserve">invest. příspěvek PO  </t>
  </si>
  <si>
    <t>úpr. odvodu 
z FI (odpisy)</t>
  </si>
  <si>
    <t>invest. přísp. PO
pol. 
6351</t>
  </si>
  <si>
    <t>úpr. odvodu 
z FI celkem</t>
  </si>
  <si>
    <t>úpr. invest. přísp.  PO celkem</t>
  </si>
  <si>
    <t>úpr. přísp. na provoz
celkem</t>
  </si>
  <si>
    <t>Rekapitulace výše navržených úprav ukazatelů rozpočtu odvětví školství z rozpočtu kraje</t>
  </si>
  <si>
    <t>kapitál. 
příjmy 
kap. 14</t>
  </si>
  <si>
    <t>Rekapitulace výše změn</t>
  </si>
  <si>
    <t>Střední škola profesní přípravy, Hradec Králové, 17. listopadu 1212</t>
  </si>
  <si>
    <t xml:space="preserve">limit mzd.výdajů PO z přísp. na provoz </t>
  </si>
  <si>
    <t>ostatní běžné
výdaje 
kap. 14</t>
  </si>
  <si>
    <t>bod kom.</t>
  </si>
  <si>
    <t>Pedagogicko-psychologická poradna a SPC Královéhradeckého kraje, Hradec Králové, Na Okrouhlíku 1371</t>
  </si>
  <si>
    <t>Obchodní akademie, Střední odborná škola a Jazyková škola s právem státní jazykové zkoušky, Hradec Králové, Pospíšilova 365</t>
  </si>
  <si>
    <t>Mateřská škola, Trutnov, Na Struze 124</t>
  </si>
  <si>
    <t>Vyšší odborná škola, Střední škola, Základní škola a Mateřská škola, Hradec Králové, Štefánikova 549</t>
  </si>
  <si>
    <t>Střední škola řemesel a Základní škola, Hořice</t>
  </si>
  <si>
    <t>Gymnázium, Střední odborná škola a Vyšší odborná škola, Nový Bydžov, Komenského 77</t>
  </si>
  <si>
    <t>Střední škola strojírenská a elektrotechnická</t>
  </si>
  <si>
    <t>individ. úpravy přísp</t>
  </si>
  <si>
    <t>Základní škola a Praktická škola, Broumov, Kladská 164</t>
  </si>
  <si>
    <t>příspěvek na invest. PO</t>
  </si>
  <si>
    <t>investice
kap.14 indiv.ú.</t>
  </si>
  <si>
    <t>příjmy kap. 14 z odvodů PO z fondů investic</t>
  </si>
  <si>
    <t>změna příspěvků na investice PO z kap. 14</t>
  </si>
  <si>
    <t>Zemědělská akademie a Gymnázium Hořice - střední škola a vyšší odborná škola, příspěvková organizace</t>
  </si>
  <si>
    <t>Základní škola a Praktická škola, Jičín</t>
  </si>
  <si>
    <t>Střední průmyslová škola Otty Wichterleho, příspěvková organizace</t>
  </si>
  <si>
    <t xml:space="preserve">Střední průmyslová škola stavební a Obchodní akademie arch. Jana Letzela, příspěvková organizace </t>
  </si>
  <si>
    <t>Střední průmyslová škola, Odborná škola a Základní škola, Nové Město nad Metují, Československé armády 376</t>
  </si>
  <si>
    <t>Střední zemědělská škola a Střední odborné učiliště chladicí a klimatizační techniky, Kostelec nad Orlicí</t>
  </si>
  <si>
    <t>Krkonošské gymnázium a Střední odborná škola</t>
  </si>
  <si>
    <t>Vyšší odborná škola zdravotnická, Střední zdravotnická škola a Obchodní akademie, Trutnov</t>
  </si>
  <si>
    <t>Střední škola a Základní škola Sluneční, Hostinné</t>
  </si>
  <si>
    <t>Speciální základní škola Augustina Bartoše</t>
  </si>
  <si>
    <t>úprava specif. ukazatelů PO</t>
  </si>
  <si>
    <t>přísp. na provoz 2021 celkem</t>
  </si>
  <si>
    <t>odvod z fondu inv.
2021</t>
  </si>
  <si>
    <t>Školské zařízení pro další vzdělávání pedagogických pracovníků Královéhradeckého kraje, Hradec Králové, Štefánikova 566</t>
  </si>
  <si>
    <t>Střední uměleckoprůmyslová škola sochařská a kamenická, Hořice, příspěvková organizace</t>
  </si>
  <si>
    <t>Dětský domov, Základní škola speciální a Praktická škola Jaroměř, Palackého 142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</si>
  <si>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</si>
  <si>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</si>
  <si>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limit na pohoštění a dary</t>
  </si>
  <si>
    <t xml:space="preserve">změna-limit mzd.výdajů PO z přísp. na provoz </t>
  </si>
  <si>
    <t>individ, úpravy příspěvků včetně nostrifikace vysvědčení</t>
  </si>
  <si>
    <t>IČO</t>
  </si>
  <si>
    <t>06668364</t>
  </si>
  <si>
    <t>06668151</t>
  </si>
  <si>
    <t>87815</t>
  </si>
  <si>
    <t>06668224</t>
  </si>
  <si>
    <t xml:space="preserve"> +/-změna limitu výdajů na pohoštění a dary</t>
  </si>
  <si>
    <t xml:space="preserve">     Specifický ukazatel</t>
  </si>
  <si>
    <t xml:space="preserve">    Specifický ukazatel</t>
  </si>
  <si>
    <t>změna celkem</t>
  </si>
  <si>
    <t>přísp. na provoz nostrif. vysvěd.</t>
  </si>
  <si>
    <t>nedaňové příjmy 
p. 2329</t>
  </si>
  <si>
    <t>nedaňové příjmy p. 2329</t>
  </si>
  <si>
    <t>Předkládaná změna výdajů pro odvětví školství</t>
  </si>
  <si>
    <t>Praktická škola, Základní škola a Mateřská škola Josefa Zemana, Náchod, Raisova 677</t>
  </si>
  <si>
    <t>Úprava ukazatelů PO školství pro rok 2021 - Rada 18.10.2021</t>
  </si>
  <si>
    <t>mzdy odborných učitelů</t>
  </si>
  <si>
    <t>podpora žáků učeb. oborů a stud. VOŠ</t>
  </si>
  <si>
    <t>Rada KHK 18.10.2021</t>
  </si>
  <si>
    <t>mzdy odborných učitelů 9-12</t>
  </si>
  <si>
    <t xml:space="preserve">                                                        </t>
  </si>
  <si>
    <t>3313,5 odb. uč.9-12</t>
  </si>
  <si>
    <t xml:space="preserve">  rozpočet před změnou (po Z 13.9.2021)</t>
  </si>
  <si>
    <t>20 učni</t>
  </si>
  <si>
    <t>3,49 nostr</t>
  </si>
  <si>
    <t>přísp. pro centra DfoE</t>
  </si>
  <si>
    <t>aktualizace odpisů</t>
  </si>
  <si>
    <t>kofi+předfi Neinvestice</t>
  </si>
  <si>
    <t>kofi+předfi Investice</t>
  </si>
  <si>
    <t>B.1</t>
  </si>
  <si>
    <t>B.2</t>
  </si>
  <si>
    <t>B.3</t>
  </si>
  <si>
    <t>B.4</t>
  </si>
  <si>
    <t>přísp. pro centra Duke of Ed.</t>
  </si>
  <si>
    <t>B.5</t>
  </si>
  <si>
    <t>B.6</t>
  </si>
  <si>
    <t>B.7</t>
  </si>
  <si>
    <t>kofi+předfi I-KAP II</t>
  </si>
  <si>
    <t>příjmy 
pol. 2451 splátky NFV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</si>
</sst>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#,##0.000"/>
    <numFmt numFmtId="167" formatCode="0.000"/>
    <numFmt numFmtId="168" formatCode="00000"/>
    <numFmt numFmtId="169" formatCode="0.00000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9"/>
      <name val="Times New Roman"/>
      <family val="1"/>
      <charset val="238"/>
    </font>
    <font>
      <b/>
      <sz val="11"/>
      <color rgb="FF000000"/>
      <name val="Times New Roman CE"/>
      <family val="1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Times New Roman CE"/>
      <charset val="238"/>
    </font>
    <font>
      <b/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8"/>
      <name val="Times New Roman CE"/>
      <family val="1"/>
      <charset val="238"/>
    </font>
    <font>
      <sz val="10"/>
      <name val="Times New Roman CE"/>
    </font>
    <font>
      <sz val="10"/>
      <color rgb="FFFF000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67">
    <xf numFmtId="0" fontId="0" fillId="0" borderId="0" xfId="0"/>
    <xf numFmtId="0" fontId="4" fillId="2" borderId="4" xfId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24" xfId="0" applyBorder="1"/>
    <xf numFmtId="0" fontId="5" fillId="0" borderId="25" xfId="0" applyFont="1" applyFill="1" applyBorder="1" applyAlignment="1">
      <alignment horizontal="center" vertical="center" wrapText="1"/>
    </xf>
    <xf numFmtId="0" fontId="12" fillId="0" borderId="0" xfId="1" applyFont="1"/>
    <xf numFmtId="0" fontId="5" fillId="0" borderId="1" xfId="1" applyFont="1" applyFill="1" applyBorder="1" applyAlignment="1">
      <alignment horizontal="center" vertical="center"/>
    </xf>
    <xf numFmtId="0" fontId="12" fillId="0" borderId="0" xfId="2" applyFont="1"/>
    <xf numFmtId="0" fontId="2" fillId="0" borderId="0" xfId="2"/>
    <xf numFmtId="0" fontId="13" fillId="0" borderId="0" xfId="2" applyFont="1" applyAlignment="1">
      <alignment horizontal="right"/>
    </xf>
    <xf numFmtId="0" fontId="5" fillId="0" borderId="0" xfId="2" applyFont="1" applyAlignment="1">
      <alignment horizontal="right"/>
    </xf>
    <xf numFmtId="0" fontId="8" fillId="0" borderId="0" xfId="2" applyFont="1"/>
    <xf numFmtId="0" fontId="5" fillId="0" borderId="22" xfId="2" applyFont="1" applyBorder="1" applyAlignment="1">
      <alignment horizontal="center"/>
    </xf>
    <xf numFmtId="0" fontId="5" fillId="0" borderId="31" xfId="2" applyFont="1" applyBorder="1" applyAlignment="1">
      <alignment horizontal="center" vertical="center" wrapText="1"/>
    </xf>
    <xf numFmtId="0" fontId="5" fillId="0" borderId="32" xfId="2" applyFont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5" fillId="0" borderId="10" xfId="2" applyFont="1" applyBorder="1" applyAlignment="1">
      <alignment wrapText="1"/>
    </xf>
    <xf numFmtId="0" fontId="2" fillId="0" borderId="35" xfId="2" applyBorder="1"/>
    <xf numFmtId="0" fontId="5" fillId="0" borderId="15" xfId="2" applyFont="1" applyBorder="1"/>
    <xf numFmtId="0" fontId="4" fillId="0" borderId="0" xfId="2" applyFont="1" applyFill="1" applyBorder="1"/>
    <xf numFmtId="0" fontId="5" fillId="0" borderId="0" xfId="2" applyFont="1" applyFill="1" applyBorder="1" applyAlignment="1">
      <alignment horizontal="right"/>
    </xf>
    <xf numFmtId="0" fontId="5" fillId="0" borderId="0" xfId="2" applyFont="1"/>
    <xf numFmtId="0" fontId="2" fillId="0" borderId="0" xfId="1"/>
    <xf numFmtId="165" fontId="2" fillId="0" borderId="0" xfId="1" applyNumberFormat="1"/>
    <xf numFmtId="165" fontId="12" fillId="0" borderId="0" xfId="1" applyNumberFormat="1" applyFont="1"/>
    <xf numFmtId="0" fontId="16" fillId="0" borderId="0" xfId="1" applyFont="1"/>
    <xf numFmtId="0" fontId="2" fillId="0" borderId="0" xfId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166" fontId="0" fillId="0" borderId="0" xfId="0" applyNumberFormat="1"/>
    <xf numFmtId="164" fontId="1" fillId="0" borderId="0" xfId="0" applyNumberFormat="1" applyFont="1" applyAlignment="1">
      <alignment horizontal="center"/>
    </xf>
    <xf numFmtId="0" fontId="8" fillId="0" borderId="0" xfId="0" applyFont="1" applyAlignment="1">
      <alignment vertical="top"/>
    </xf>
    <xf numFmtId="164" fontId="5" fillId="0" borderId="27" xfId="0" applyNumberFormat="1" applyFont="1" applyFill="1" applyBorder="1" applyAlignment="1">
      <alignment horizontal="center" vertical="center" wrapText="1"/>
    </xf>
    <xf numFmtId="165" fontId="12" fillId="0" borderId="28" xfId="0" applyNumberFormat="1" applyFont="1" applyFill="1" applyBorder="1" applyAlignment="1">
      <alignment horizontal="left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0" fontId="17" fillId="0" borderId="0" xfId="2" applyFont="1"/>
    <xf numFmtId="0" fontId="2" fillId="0" borderId="33" xfId="2" applyFont="1" applyBorder="1" applyAlignment="1">
      <alignment horizontal="center"/>
    </xf>
    <xf numFmtId="0" fontId="18" fillId="0" borderId="2" xfId="1" applyFont="1" applyBorder="1" applyAlignment="1">
      <alignment horizontal="center" vertical="center"/>
    </xf>
    <xf numFmtId="0" fontId="0" fillId="0" borderId="43" xfId="0" applyBorder="1"/>
    <xf numFmtId="164" fontId="0" fillId="3" borderId="28" xfId="0" applyNumberForma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5" fillId="0" borderId="37" xfId="1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2" fontId="2" fillId="0" borderId="0" xfId="1" applyNumberFormat="1"/>
    <xf numFmtId="0" fontId="18" fillId="0" borderId="31" xfId="2" applyFont="1" applyBorder="1" applyAlignment="1">
      <alignment horizontal="center" vertical="center" wrapText="1"/>
    </xf>
    <xf numFmtId="2" fontId="0" fillId="0" borderId="0" xfId="0" applyNumberFormat="1"/>
    <xf numFmtId="2" fontId="0" fillId="0" borderId="5" xfId="0" applyNumberFormat="1" applyFill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 wrapText="1"/>
    </xf>
    <xf numFmtId="2" fontId="0" fillId="0" borderId="23" xfId="0" applyNumberFormat="1" applyBorder="1"/>
    <xf numFmtId="4" fontId="0" fillId="0" borderId="0" xfId="0" applyNumberFormat="1"/>
    <xf numFmtId="4" fontId="0" fillId="3" borderId="5" xfId="0" applyNumberFormat="1" applyFill="1" applyBorder="1" applyAlignment="1">
      <alignment horizontal="center" vertical="center"/>
    </xf>
    <xf numFmtId="4" fontId="5" fillId="0" borderId="38" xfId="0" applyNumberFormat="1" applyFont="1" applyFill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left" vertical="center"/>
    </xf>
    <xf numFmtId="4" fontId="3" fillId="0" borderId="26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37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19" xfId="2" applyFont="1" applyBorder="1"/>
    <xf numFmtId="4" fontId="0" fillId="0" borderId="24" xfId="0" applyNumberFormat="1" applyBorder="1" applyAlignment="1">
      <alignment horizontal="center" vertical="center"/>
    </xf>
    <xf numFmtId="4" fontId="5" fillId="0" borderId="52" xfId="0" applyNumberFormat="1" applyFont="1" applyFill="1" applyBorder="1" applyAlignment="1">
      <alignment horizontal="center" vertical="center" wrapText="1"/>
    </xf>
    <xf numFmtId="164" fontId="4" fillId="0" borderId="39" xfId="0" applyNumberFormat="1" applyFont="1" applyFill="1" applyBorder="1" applyAlignment="1">
      <alignment horizontal="center" vertical="center" wrapText="1"/>
    </xf>
    <xf numFmtId="1" fontId="2" fillId="0" borderId="6" xfId="1" applyNumberFormat="1" applyFont="1" applyBorder="1" applyAlignment="1">
      <alignment horizontal="center" vertical="center"/>
    </xf>
    <xf numFmtId="1" fontId="2" fillId="0" borderId="11" xfId="1" applyNumberFormat="1" applyFont="1" applyFill="1" applyBorder="1" applyAlignment="1">
      <alignment horizontal="center" vertical="center"/>
    </xf>
    <xf numFmtId="1" fontId="2" fillId="0" borderId="17" xfId="1" applyNumberFormat="1" applyFont="1" applyBorder="1" applyAlignment="1">
      <alignment horizontal="center" vertical="center"/>
    </xf>
    <xf numFmtId="1" fontId="2" fillId="0" borderId="7" xfId="1" applyNumberFormat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2" fillId="0" borderId="18" xfId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1" fontId="2" fillId="0" borderId="13" xfId="1" applyNumberFormat="1" applyFont="1" applyBorder="1" applyAlignment="1">
      <alignment horizontal="center" vertical="center"/>
    </xf>
    <xf numFmtId="1" fontId="2" fillId="0" borderId="12" xfId="1" applyNumberFormat="1" applyBorder="1" applyAlignment="1">
      <alignment horizontal="center" vertical="center"/>
    </xf>
    <xf numFmtId="1" fontId="2" fillId="0" borderId="14" xfId="1" applyNumberForma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167" fontId="14" fillId="0" borderId="33" xfId="2" applyNumberFormat="1" applyFont="1" applyBorder="1"/>
    <xf numFmtId="167" fontId="14" fillId="0" borderId="34" xfId="2" applyNumberFormat="1" applyFont="1" applyBorder="1"/>
    <xf numFmtId="167" fontId="2" fillId="0" borderId="34" xfId="2" applyNumberFormat="1" applyBorder="1"/>
    <xf numFmtId="167" fontId="2" fillId="0" borderId="10" xfId="2" applyNumberFormat="1" applyBorder="1"/>
    <xf numFmtId="167" fontId="2" fillId="0" borderId="0" xfId="2" applyNumberFormat="1"/>
    <xf numFmtId="167" fontId="2" fillId="0" borderId="33" xfId="2" applyNumberFormat="1" applyBorder="1"/>
    <xf numFmtId="167" fontId="15" fillId="0" borderId="33" xfId="2" applyNumberFormat="1" applyFont="1" applyBorder="1"/>
    <xf numFmtId="167" fontId="2" fillId="0" borderId="34" xfId="2" applyNumberFormat="1" applyFill="1" applyBorder="1"/>
    <xf numFmtId="167" fontId="2" fillId="0" borderId="46" xfId="2" applyNumberFormat="1" applyBorder="1"/>
    <xf numFmtId="167" fontId="2" fillId="0" borderId="47" xfId="2" applyNumberFormat="1" applyBorder="1"/>
    <xf numFmtId="167" fontId="2" fillId="0" borderId="19" xfId="2" applyNumberFormat="1" applyBorder="1"/>
    <xf numFmtId="167" fontId="2" fillId="0" borderId="35" xfId="2" applyNumberFormat="1" applyBorder="1"/>
    <xf numFmtId="167" fontId="2" fillId="0" borderId="36" xfId="2" applyNumberFormat="1" applyBorder="1"/>
    <xf numFmtId="167" fontId="2" fillId="0" borderId="15" xfId="2" applyNumberFormat="1" applyBorder="1"/>
    <xf numFmtId="2" fontId="0" fillId="0" borderId="0" xfId="0" applyNumberFormat="1" applyFont="1"/>
    <xf numFmtId="2" fontId="0" fillId="0" borderId="0" xfId="0" applyNumberFormat="1" applyFont="1" applyAlignment="1">
      <alignment horizontal="right"/>
    </xf>
    <xf numFmtId="166" fontId="11" fillId="3" borderId="4" xfId="0" applyNumberFormat="1" applyFont="1" applyFill="1" applyBorder="1" applyAlignment="1">
      <alignment horizontal="left"/>
    </xf>
    <xf numFmtId="1" fontId="2" fillId="0" borderId="6" xfId="1" applyNumberFormat="1" applyFont="1" applyFill="1" applyBorder="1" applyAlignment="1">
      <alignment horizontal="center" vertical="center"/>
    </xf>
    <xf numFmtId="1" fontId="2" fillId="0" borderId="7" xfId="1" applyNumberFormat="1" applyFont="1" applyFill="1" applyBorder="1" applyAlignment="1">
      <alignment horizontal="center" vertical="center"/>
    </xf>
    <xf numFmtId="1" fontId="2" fillId="0" borderId="12" xfId="1" applyNumberFormat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1" fontId="2" fillId="0" borderId="50" xfId="1" applyNumberFormat="1" applyFont="1" applyFill="1" applyBorder="1" applyAlignment="1">
      <alignment horizontal="center" vertical="center"/>
    </xf>
    <xf numFmtId="1" fontId="2" fillId="0" borderId="25" xfId="1" applyNumberFormat="1" applyFont="1" applyFill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1" fontId="2" fillId="0" borderId="14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1" fontId="2" fillId="0" borderId="20" xfId="1" applyNumberFormat="1" applyFont="1" applyFill="1" applyBorder="1" applyAlignment="1">
      <alignment horizontal="center" vertical="center"/>
    </xf>
    <xf numFmtId="1" fontId="2" fillId="0" borderId="21" xfId="1" applyNumberFormat="1" applyFont="1" applyFill="1" applyBorder="1" applyAlignment="1">
      <alignment horizontal="center" vertical="center"/>
    </xf>
    <xf numFmtId="1" fontId="2" fillId="0" borderId="17" xfId="1" applyNumberFormat="1" applyFont="1" applyFill="1" applyBorder="1" applyAlignment="1">
      <alignment horizontal="center" vertical="center"/>
    </xf>
    <xf numFmtId="1" fontId="2" fillId="0" borderId="18" xfId="1" applyNumberFormat="1" applyFont="1" applyFill="1" applyBorder="1" applyAlignment="1">
      <alignment horizontal="center" vertical="center"/>
    </xf>
    <xf numFmtId="0" fontId="0" fillId="4" borderId="0" xfId="0" applyFill="1"/>
    <xf numFmtId="0" fontId="3" fillId="4" borderId="3" xfId="1" applyFont="1" applyFill="1" applyBorder="1" applyAlignment="1">
      <alignment horizontal="center" vertical="center" wrapText="1"/>
    </xf>
    <xf numFmtId="0" fontId="0" fillId="4" borderId="24" xfId="0" applyFill="1" applyBorder="1"/>
    <xf numFmtId="0" fontId="6" fillId="4" borderId="10" xfId="1" applyNumberFormat="1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7" fillId="4" borderId="10" xfId="1" applyNumberFormat="1" applyFont="1" applyFill="1" applyBorder="1" applyAlignment="1">
      <alignment horizontal="left" vertical="center" wrapText="1"/>
    </xf>
    <xf numFmtId="0" fontId="9" fillId="4" borderId="10" xfId="1" applyNumberFormat="1" applyFont="1" applyFill="1" applyBorder="1" applyAlignment="1">
      <alignment horizontal="left" vertical="center" wrapText="1"/>
    </xf>
    <xf numFmtId="0" fontId="7" fillId="4" borderId="38" xfId="1" applyNumberFormat="1" applyFont="1" applyFill="1" applyBorder="1" applyAlignment="1">
      <alignment horizontal="left" vertical="center" wrapText="1"/>
    </xf>
    <xf numFmtId="0" fontId="7" fillId="4" borderId="8" xfId="1" applyNumberFormat="1" applyFont="1" applyFill="1" applyBorder="1" applyAlignment="1">
      <alignment horizontal="left" vertical="center" wrapText="1"/>
    </xf>
    <xf numFmtId="0" fontId="7" fillId="5" borderId="10" xfId="1" applyNumberFormat="1" applyFont="1" applyFill="1" applyBorder="1" applyAlignment="1">
      <alignment horizontal="left" vertical="center" wrapText="1"/>
    </xf>
    <xf numFmtId="0" fontId="7" fillId="5" borderId="15" xfId="1" applyNumberFormat="1" applyFont="1" applyFill="1" applyBorder="1" applyAlignment="1">
      <alignment horizontal="left" vertical="center" wrapText="1"/>
    </xf>
    <xf numFmtId="0" fontId="7" fillId="5" borderId="8" xfId="1" applyNumberFormat="1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vertical="top" wrapText="1"/>
    </xf>
    <xf numFmtId="0" fontId="7" fillId="4" borderId="15" xfId="1" applyNumberFormat="1" applyFont="1" applyFill="1" applyBorder="1" applyAlignment="1">
      <alignment horizontal="left" vertical="center" wrapText="1"/>
    </xf>
    <xf numFmtId="0" fontId="7" fillId="4" borderId="19" xfId="1" applyNumberFormat="1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wrapText="1"/>
    </xf>
    <xf numFmtId="0" fontId="7" fillId="4" borderId="22" xfId="1" applyNumberFormat="1" applyFont="1" applyFill="1" applyBorder="1" applyAlignment="1">
      <alignment horizontal="left" vertical="center" wrapText="1"/>
    </xf>
    <xf numFmtId="0" fontId="7" fillId="4" borderId="0" xfId="1" applyNumberFormat="1" applyFont="1" applyFill="1" applyBorder="1" applyAlignment="1">
      <alignment horizontal="left" vertical="center" wrapText="1"/>
    </xf>
    <xf numFmtId="0" fontId="2" fillId="0" borderId="18" xfId="1" applyFont="1" applyFill="1" applyBorder="1" applyAlignment="1">
      <alignment horizontal="center" vertical="center"/>
    </xf>
    <xf numFmtId="1" fontId="2" fillId="0" borderId="20" xfId="1" applyNumberFormat="1" applyFont="1" applyBorder="1" applyAlignment="1">
      <alignment horizontal="center" vertical="center"/>
    </xf>
    <xf numFmtId="0" fontId="2" fillId="0" borderId="21" xfId="1" applyBorder="1" applyAlignment="1">
      <alignment horizontal="center" vertical="center"/>
    </xf>
    <xf numFmtId="1" fontId="2" fillId="5" borderId="12" xfId="1" applyNumberFormat="1" applyFont="1" applyFill="1" applyBorder="1" applyAlignment="1">
      <alignment horizontal="center" vertical="center"/>
    </xf>
    <xf numFmtId="1" fontId="2" fillId="4" borderId="11" xfId="1" applyNumberFormat="1" applyFont="1" applyFill="1" applyBorder="1" applyAlignment="1">
      <alignment horizontal="center" vertical="center"/>
    </xf>
    <xf numFmtId="1" fontId="2" fillId="4" borderId="12" xfId="1" applyNumberFormat="1" applyFont="1" applyFill="1" applyBorder="1" applyAlignment="1">
      <alignment horizontal="center" vertical="center"/>
    </xf>
    <xf numFmtId="1" fontId="2" fillId="5" borderId="11" xfId="1" applyNumberFormat="1" applyFont="1" applyFill="1" applyBorder="1" applyAlignment="1">
      <alignment horizontal="center" vertical="center"/>
    </xf>
    <xf numFmtId="0" fontId="2" fillId="5" borderId="12" xfId="1" applyFont="1" applyFill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 wrapText="1"/>
    </xf>
    <xf numFmtId="166" fontId="12" fillId="0" borderId="39" xfId="0" applyNumberFormat="1" applyFont="1" applyFill="1" applyBorder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21" fillId="5" borderId="10" xfId="0" applyFont="1" applyFill="1" applyBorder="1" applyAlignment="1">
      <alignment horizontal="left" vertical="center" wrapText="1"/>
    </xf>
    <xf numFmtId="167" fontId="2" fillId="0" borderId="0" xfId="1" applyNumberFormat="1"/>
    <xf numFmtId="166" fontId="0" fillId="0" borderId="20" xfId="0" applyNumberFormat="1" applyBorder="1"/>
    <xf numFmtId="166" fontId="0" fillId="0" borderId="22" xfId="0" applyNumberFormat="1" applyBorder="1"/>
    <xf numFmtId="165" fontId="14" fillId="0" borderId="7" xfId="0" applyNumberFormat="1" applyFont="1" applyFill="1" applyBorder="1" applyAlignment="1">
      <alignment horizontal="center" vertical="center"/>
    </xf>
    <xf numFmtId="166" fontId="22" fillId="0" borderId="29" xfId="0" applyNumberFormat="1" applyFont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4" fontId="22" fillId="0" borderId="9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6" fontId="22" fillId="0" borderId="31" xfId="0" applyNumberFormat="1" applyFont="1" applyBorder="1" applyAlignment="1">
      <alignment horizontal="center" vertical="center"/>
    </xf>
    <xf numFmtId="166" fontId="22" fillId="0" borderId="32" xfId="0" applyNumberFormat="1" applyFont="1" applyBorder="1" applyAlignment="1">
      <alignment horizontal="center" vertical="center"/>
    </xf>
    <xf numFmtId="166" fontId="22" fillId="0" borderId="22" xfId="0" applyNumberFormat="1" applyFont="1" applyBorder="1" applyAlignment="1">
      <alignment horizontal="center" vertical="center"/>
    </xf>
    <xf numFmtId="166" fontId="22" fillId="0" borderId="33" xfId="0" applyNumberFormat="1" applyFont="1" applyBorder="1" applyAlignment="1">
      <alignment horizontal="center" vertical="center"/>
    </xf>
    <xf numFmtId="166" fontId="22" fillId="0" borderId="34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65" fontId="14" fillId="0" borderId="21" xfId="0" applyNumberFormat="1" applyFont="1" applyFill="1" applyBorder="1" applyAlignment="1">
      <alignment horizontal="center" vertical="center"/>
    </xf>
    <xf numFmtId="4" fontId="22" fillId="0" borderId="23" xfId="0" applyNumberFormat="1" applyFont="1" applyBorder="1" applyAlignment="1">
      <alignment horizontal="center" vertical="center"/>
    </xf>
    <xf numFmtId="165" fontId="14" fillId="0" borderId="55" xfId="0" applyNumberFormat="1" applyFont="1" applyFill="1" applyBorder="1" applyAlignment="1">
      <alignment horizontal="center" vertical="center"/>
    </xf>
    <xf numFmtId="166" fontId="22" fillId="0" borderId="53" xfId="0" applyNumberFormat="1" applyFont="1" applyBorder="1" applyAlignment="1">
      <alignment horizontal="center" vertical="center"/>
    </xf>
    <xf numFmtId="166" fontId="22" fillId="0" borderId="16" xfId="0" applyNumberFormat="1" applyFont="1" applyBorder="1" applyAlignment="1">
      <alignment horizontal="center" vertical="center"/>
    </xf>
    <xf numFmtId="4" fontId="22" fillId="0" borderId="57" xfId="0" applyNumberFormat="1" applyFont="1" applyBorder="1" applyAlignment="1">
      <alignment horizontal="center" vertical="center"/>
    </xf>
    <xf numFmtId="2" fontId="14" fillId="0" borderId="0" xfId="0" applyNumberFormat="1" applyFont="1" applyFill="1" applyAlignment="1">
      <alignment horizontal="center" vertical="center"/>
    </xf>
    <xf numFmtId="165" fontId="14" fillId="0" borderId="14" xfId="0" applyNumberFormat="1" applyFont="1" applyFill="1" applyBorder="1" applyAlignment="1">
      <alignment horizontal="center" vertical="center"/>
    </xf>
    <xf numFmtId="166" fontId="22" fillId="0" borderId="35" xfId="0" applyNumberFormat="1" applyFont="1" applyBorder="1" applyAlignment="1">
      <alignment horizontal="center" vertical="center"/>
    </xf>
    <xf numFmtId="166" fontId="22" fillId="0" borderId="15" xfId="0" applyNumberFormat="1" applyFont="1" applyBorder="1" applyAlignment="1">
      <alignment horizontal="center" vertical="center"/>
    </xf>
    <xf numFmtId="166" fontId="22" fillId="0" borderId="36" xfId="0" applyNumberFormat="1" applyFont="1" applyBorder="1" applyAlignment="1">
      <alignment horizontal="center" vertical="center"/>
    </xf>
    <xf numFmtId="4" fontId="22" fillId="0" borderId="0" xfId="0" applyNumberFormat="1" applyFont="1" applyAlignment="1">
      <alignment horizontal="center"/>
    </xf>
    <xf numFmtId="166" fontId="22" fillId="0" borderId="0" xfId="0" applyNumberFormat="1" applyFont="1" applyAlignment="1">
      <alignment horizontal="center"/>
    </xf>
    <xf numFmtId="167" fontId="14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14" fillId="0" borderId="7" xfId="0" applyNumberFormat="1" applyFont="1" applyFill="1" applyBorder="1" applyAlignment="1">
      <alignment horizontal="center" vertical="center"/>
    </xf>
    <xf numFmtId="4" fontId="14" fillId="0" borderId="48" xfId="0" applyNumberFormat="1" applyFont="1" applyFill="1" applyBorder="1" applyAlignment="1">
      <alignment horizontal="center" vertical="center"/>
    </xf>
    <xf numFmtId="166" fontId="1" fillId="0" borderId="24" xfId="0" applyNumberFormat="1" applyFont="1" applyBorder="1" applyAlignment="1">
      <alignment horizontal="center" vertical="center"/>
    </xf>
    <xf numFmtId="166" fontId="0" fillId="0" borderId="32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12" fillId="0" borderId="6" xfId="1" applyNumberFormat="1" applyFont="1" applyBorder="1" applyAlignment="1">
      <alignment horizontal="center" vertical="center"/>
    </xf>
    <xf numFmtId="166" fontId="2" fillId="0" borderId="30" xfId="1" applyNumberFormat="1" applyFont="1" applyBorder="1" applyAlignment="1">
      <alignment horizontal="center" vertical="center"/>
    </xf>
    <xf numFmtId="166" fontId="12" fillId="0" borderId="12" xfId="1" applyNumberFormat="1" applyFont="1" applyBorder="1" applyAlignment="1">
      <alignment horizontal="center" vertical="center"/>
    </xf>
    <xf numFmtId="166" fontId="12" fillId="0" borderId="8" xfId="1" applyNumberFormat="1" applyFont="1" applyBorder="1" applyAlignment="1">
      <alignment horizontal="center" vertical="center"/>
    </xf>
    <xf numFmtId="166" fontId="2" fillId="0" borderId="34" xfId="1" applyNumberFormat="1" applyFont="1" applyBorder="1" applyAlignment="1">
      <alignment horizontal="center" vertical="center"/>
    </xf>
    <xf numFmtId="166" fontId="12" fillId="0" borderId="10" xfId="1" applyNumberFormat="1" applyFont="1" applyBorder="1" applyAlignment="1">
      <alignment horizontal="center" vertical="center"/>
    </xf>
    <xf numFmtId="166" fontId="12" fillId="0" borderId="6" xfId="1" applyNumberFormat="1" applyFont="1" applyFill="1" applyBorder="1" applyAlignment="1">
      <alignment horizontal="center" vertical="center"/>
    </xf>
    <xf numFmtId="166" fontId="2" fillId="0" borderId="34" xfId="1" applyNumberFormat="1" applyFont="1" applyFill="1" applyBorder="1" applyAlignment="1">
      <alignment horizontal="center" vertical="center"/>
    </xf>
    <xf numFmtId="166" fontId="12" fillId="0" borderId="12" xfId="1" applyNumberFormat="1" applyFont="1" applyFill="1" applyBorder="1" applyAlignment="1">
      <alignment horizontal="center" vertical="center"/>
    </xf>
    <xf numFmtId="166" fontId="12" fillId="0" borderId="10" xfId="1" applyNumberFormat="1" applyFont="1" applyFill="1" applyBorder="1" applyAlignment="1">
      <alignment horizontal="center" vertical="center"/>
    </xf>
    <xf numFmtId="166" fontId="12" fillId="0" borderId="50" xfId="1" applyNumberFormat="1" applyFont="1" applyFill="1" applyBorder="1" applyAlignment="1">
      <alignment horizontal="center" vertical="center"/>
    </xf>
    <xf numFmtId="166" fontId="22" fillId="0" borderId="49" xfId="0" applyNumberFormat="1" applyFont="1" applyBorder="1" applyAlignment="1">
      <alignment horizontal="center" vertical="center"/>
    </xf>
    <xf numFmtId="166" fontId="14" fillId="4" borderId="51" xfId="0" applyNumberFormat="1" applyFont="1" applyFill="1" applyBorder="1" applyAlignment="1">
      <alignment horizontal="center" vertical="center"/>
    </xf>
    <xf numFmtId="166" fontId="12" fillId="0" borderId="43" xfId="1" applyNumberFormat="1" applyFont="1" applyFill="1" applyBorder="1" applyAlignment="1">
      <alignment horizontal="center" vertical="center"/>
    </xf>
    <xf numFmtId="166" fontId="22" fillId="4" borderId="42" xfId="0" applyNumberFormat="1" applyFont="1" applyFill="1" applyBorder="1" applyAlignment="1">
      <alignment horizontal="center" vertical="center"/>
    </xf>
    <xf numFmtId="166" fontId="22" fillId="0" borderId="11" xfId="0" applyNumberFormat="1" applyFont="1" applyBorder="1" applyAlignment="1">
      <alignment horizontal="center" vertical="center"/>
    </xf>
    <xf numFmtId="166" fontId="14" fillId="4" borderId="34" xfId="0" applyNumberFormat="1" applyFont="1" applyFill="1" applyBorder="1" applyAlignment="1">
      <alignment horizontal="center" vertical="center"/>
    </xf>
    <xf numFmtId="166" fontId="12" fillId="0" borderId="44" xfId="1" applyNumberFormat="1" applyFont="1" applyFill="1" applyBorder="1" applyAlignment="1">
      <alignment horizontal="center" vertical="center"/>
    </xf>
    <xf numFmtId="166" fontId="22" fillId="4" borderId="10" xfId="0" applyNumberFormat="1" applyFont="1" applyFill="1" applyBorder="1" applyAlignment="1">
      <alignment horizontal="center" vertical="center"/>
    </xf>
    <xf numFmtId="166" fontId="12" fillId="0" borderId="20" xfId="1" applyNumberFormat="1" applyFont="1" applyFill="1" applyBorder="1" applyAlignment="1">
      <alignment horizontal="center" vertical="center"/>
    </xf>
    <xf numFmtId="166" fontId="2" fillId="0" borderId="32" xfId="1" applyNumberFormat="1" applyFont="1" applyFill="1" applyBorder="1" applyAlignment="1">
      <alignment horizontal="center" vertical="center"/>
    </xf>
    <xf numFmtId="166" fontId="12" fillId="0" borderId="24" xfId="1" applyNumberFormat="1" applyFont="1" applyFill="1" applyBorder="1" applyAlignment="1">
      <alignment horizontal="center" vertical="center"/>
    </xf>
    <xf numFmtId="166" fontId="12" fillId="0" borderId="22" xfId="1" applyNumberFormat="1" applyFont="1" applyFill="1" applyBorder="1" applyAlignment="1">
      <alignment horizontal="center" vertical="center"/>
    </xf>
    <xf numFmtId="166" fontId="2" fillId="0" borderId="30" xfId="1" applyNumberFormat="1" applyFont="1" applyFill="1" applyBorder="1" applyAlignment="1">
      <alignment horizontal="center" vertical="center"/>
    </xf>
    <xf numFmtId="166" fontId="12" fillId="0" borderId="40" xfId="1" applyNumberFormat="1" applyFont="1" applyFill="1" applyBorder="1" applyAlignment="1">
      <alignment horizontal="center" vertical="center"/>
    </xf>
    <xf numFmtId="166" fontId="12" fillId="0" borderId="8" xfId="1" applyNumberFormat="1" applyFont="1" applyFill="1" applyBorder="1" applyAlignment="1">
      <alignment horizontal="center" vertical="center"/>
    </xf>
    <xf numFmtId="166" fontId="12" fillId="0" borderId="11" xfId="1" applyNumberFormat="1" applyFont="1" applyFill="1" applyBorder="1" applyAlignment="1">
      <alignment horizontal="center" vertical="center"/>
    </xf>
    <xf numFmtId="166" fontId="12" fillId="0" borderId="49" xfId="1" applyNumberFormat="1" applyFont="1" applyFill="1" applyBorder="1" applyAlignment="1">
      <alignment horizontal="center" vertical="center"/>
    </xf>
    <xf numFmtId="166" fontId="2" fillId="0" borderId="47" xfId="1" applyNumberFormat="1" applyFont="1" applyFill="1" applyBorder="1" applyAlignment="1">
      <alignment horizontal="center" vertical="center"/>
    </xf>
    <xf numFmtId="166" fontId="12" fillId="0" borderId="45" xfId="1" applyNumberFormat="1" applyFont="1" applyFill="1" applyBorder="1" applyAlignment="1">
      <alignment horizontal="center" vertical="center"/>
    </xf>
    <xf numFmtId="166" fontId="12" fillId="0" borderId="19" xfId="1" applyNumberFormat="1" applyFont="1" applyFill="1" applyBorder="1" applyAlignment="1">
      <alignment horizontal="center" vertical="center"/>
    </xf>
    <xf numFmtId="166" fontId="22" fillId="0" borderId="20" xfId="0" applyNumberFormat="1" applyFont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6" fontId="22" fillId="4" borderId="22" xfId="0" applyNumberFormat="1" applyFont="1" applyFill="1" applyBorder="1" applyAlignment="1">
      <alignment horizontal="center" vertical="center"/>
    </xf>
    <xf numFmtId="166" fontId="22" fillId="0" borderId="13" xfId="0" applyNumberFormat="1" applyFont="1" applyBorder="1" applyAlignment="1">
      <alignment horizontal="center" vertical="center"/>
    </xf>
    <xf numFmtId="166" fontId="14" fillId="4" borderId="36" xfId="0" applyNumberFormat="1" applyFont="1" applyFill="1" applyBorder="1" applyAlignment="1">
      <alignment horizontal="center" vertical="center"/>
    </xf>
    <xf numFmtId="166" fontId="12" fillId="0" borderId="41" xfId="1" applyNumberFormat="1" applyFont="1" applyFill="1" applyBorder="1" applyAlignment="1">
      <alignment horizontal="center" vertical="center"/>
    </xf>
    <xf numFmtId="166" fontId="22" fillId="4" borderId="15" xfId="0" applyNumberFormat="1" applyFont="1" applyFill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14" fillId="4" borderId="30" xfId="0" applyNumberFormat="1" applyFont="1" applyFill="1" applyBorder="1" applyAlignment="1">
      <alignment horizontal="center" vertical="center"/>
    </xf>
    <xf numFmtId="166" fontId="22" fillId="4" borderId="8" xfId="0" applyNumberFormat="1" applyFont="1" applyFill="1" applyBorder="1" applyAlignment="1">
      <alignment horizontal="center" vertical="center"/>
    </xf>
    <xf numFmtId="166" fontId="1" fillId="0" borderId="43" xfId="0" applyNumberFormat="1" applyFont="1" applyBorder="1"/>
    <xf numFmtId="166" fontId="0" fillId="0" borderId="43" xfId="0" applyNumberFormat="1" applyBorder="1"/>
    <xf numFmtId="166" fontId="5" fillId="0" borderId="37" xfId="1" applyNumberFormat="1" applyFont="1" applyFill="1" applyBorder="1" applyAlignment="1">
      <alignment horizontal="center" vertical="center" wrapText="1"/>
    </xf>
    <xf numFmtId="166" fontId="0" fillId="0" borderId="32" xfId="0" applyNumberFormat="1" applyBorder="1"/>
    <xf numFmtId="166" fontId="14" fillId="0" borderId="30" xfId="0" applyNumberFormat="1" applyFont="1" applyBorder="1" applyAlignment="1">
      <alignment horizontal="center" vertical="center"/>
    </xf>
    <xf numFmtId="166" fontId="14" fillId="0" borderId="32" xfId="0" applyNumberFormat="1" applyFont="1" applyBorder="1" applyAlignment="1">
      <alignment horizontal="center" vertical="center"/>
    </xf>
    <xf numFmtId="166" fontId="14" fillId="0" borderId="56" xfId="0" applyNumberFormat="1" applyFont="1" applyBorder="1" applyAlignment="1">
      <alignment horizontal="center" vertical="center"/>
    </xf>
    <xf numFmtId="166" fontId="14" fillId="0" borderId="36" xfId="0" applyNumberFormat="1" applyFont="1" applyBorder="1" applyAlignment="1">
      <alignment horizontal="center" vertical="center"/>
    </xf>
    <xf numFmtId="167" fontId="14" fillId="0" borderId="7" xfId="0" applyNumberFormat="1" applyFont="1" applyFill="1" applyBorder="1" applyAlignment="1">
      <alignment horizontal="center" vertical="center"/>
    </xf>
    <xf numFmtId="167" fontId="14" fillId="0" borderId="21" xfId="0" applyNumberFormat="1" applyFont="1" applyFill="1" applyBorder="1" applyAlignment="1">
      <alignment horizontal="center" vertical="center"/>
    </xf>
    <xf numFmtId="2" fontId="5" fillId="0" borderId="11" xfId="1" applyNumberFormat="1" applyFont="1" applyBorder="1" applyAlignment="1">
      <alignment horizontal="center" vertical="center" wrapText="1"/>
    </xf>
    <xf numFmtId="167" fontId="14" fillId="0" borderId="44" xfId="0" applyNumberFormat="1" applyFont="1" applyBorder="1" applyAlignment="1">
      <alignment horizontal="center" vertical="center"/>
    </xf>
    <xf numFmtId="2" fontId="14" fillId="0" borderId="44" xfId="0" applyNumberFormat="1" applyFont="1" applyBorder="1" applyAlignment="1">
      <alignment horizontal="center" vertical="center"/>
    </xf>
    <xf numFmtId="2" fontId="14" fillId="0" borderId="24" xfId="0" applyNumberFormat="1" applyFont="1" applyBorder="1" applyAlignment="1">
      <alignment horizontal="center" vertical="center"/>
    </xf>
    <xf numFmtId="2" fontId="14" fillId="0" borderId="45" xfId="0" applyNumberFormat="1" applyFont="1" applyBorder="1" applyAlignment="1">
      <alignment horizontal="center" vertical="center"/>
    </xf>
    <xf numFmtId="2" fontId="14" fillId="0" borderId="41" xfId="0" applyNumberFormat="1" applyFont="1" applyBorder="1" applyAlignment="1">
      <alignment horizontal="center" vertical="center"/>
    </xf>
    <xf numFmtId="2" fontId="5" fillId="0" borderId="10" xfId="1" applyNumberFormat="1" applyFont="1" applyBorder="1" applyAlignment="1">
      <alignment horizontal="center" vertical="center" wrapText="1"/>
    </xf>
    <xf numFmtId="2" fontId="0" fillId="0" borderId="10" xfId="0" applyNumberFormat="1" applyFont="1" applyBorder="1" applyAlignment="1">
      <alignment horizontal="center"/>
    </xf>
    <xf numFmtId="167" fontId="14" fillId="0" borderId="10" xfId="0" applyNumberFormat="1" applyFont="1" applyBorder="1" applyAlignment="1">
      <alignment horizontal="center" vertical="center"/>
    </xf>
    <xf numFmtId="2" fontId="14" fillId="0" borderId="10" xfId="0" applyNumberFormat="1" applyFont="1" applyBorder="1" applyAlignment="1">
      <alignment horizontal="center" vertical="center"/>
    </xf>
    <xf numFmtId="2" fontId="14" fillId="0" borderId="15" xfId="0" applyNumberFormat="1" applyFont="1" applyBorder="1" applyAlignment="1">
      <alignment horizontal="center" vertical="center"/>
    </xf>
    <xf numFmtId="2" fontId="14" fillId="0" borderId="19" xfId="0" applyNumberFormat="1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center" vertical="center"/>
    </xf>
    <xf numFmtId="2" fontId="14" fillId="0" borderId="22" xfId="0" applyNumberFormat="1" applyFont="1" applyBorder="1" applyAlignment="1">
      <alignment horizontal="center" vertical="center"/>
    </xf>
    <xf numFmtId="167" fontId="14" fillId="0" borderId="22" xfId="0" applyNumberFormat="1" applyFont="1" applyBorder="1" applyAlignment="1">
      <alignment horizontal="center" vertical="center"/>
    </xf>
    <xf numFmtId="167" fontId="14" fillId="0" borderId="24" xfId="0" applyNumberFormat="1" applyFont="1" applyBorder="1" applyAlignment="1">
      <alignment horizontal="center" vertical="center"/>
    </xf>
    <xf numFmtId="0" fontId="2" fillId="0" borderId="33" xfId="2" applyBorder="1" applyAlignment="1">
      <alignment horizontal="center" vertical="center"/>
    </xf>
    <xf numFmtId="167" fontId="14" fillId="0" borderId="33" xfId="2" applyNumberFormat="1" applyFont="1" applyBorder="1" applyAlignment="1">
      <alignment vertical="center"/>
    </xf>
    <xf numFmtId="167" fontId="14" fillId="0" borderId="34" xfId="2" applyNumberFormat="1" applyFont="1" applyBorder="1" applyAlignment="1">
      <alignment vertical="center"/>
    </xf>
    <xf numFmtId="167" fontId="2" fillId="0" borderId="34" xfId="2" applyNumberFormat="1" applyBorder="1" applyAlignment="1">
      <alignment vertical="center"/>
    </xf>
    <xf numFmtId="167" fontId="2" fillId="0" borderId="10" xfId="2" applyNumberFormat="1" applyBorder="1" applyAlignment="1">
      <alignment vertical="center"/>
    </xf>
    <xf numFmtId="167" fontId="2" fillId="0" borderId="0" xfId="2" applyNumberFormat="1" applyAlignment="1">
      <alignment vertical="center"/>
    </xf>
    <xf numFmtId="167" fontId="2" fillId="0" borderId="33" xfId="2" applyNumberFormat="1" applyBorder="1" applyAlignment="1">
      <alignment vertical="center"/>
    </xf>
    <xf numFmtId="0" fontId="7" fillId="4" borderId="10" xfId="1" applyNumberFormat="1" applyFont="1" applyFill="1" applyBorder="1" applyAlignment="1">
      <alignment horizontal="left" vertical="top" wrapText="1"/>
    </xf>
    <xf numFmtId="4" fontId="0" fillId="0" borderId="43" xfId="0" applyNumberFormat="1" applyBorder="1"/>
    <xf numFmtId="166" fontId="14" fillId="0" borderId="0" xfId="0" applyNumberFormat="1" applyFont="1" applyAlignment="1">
      <alignment horizontal="center"/>
    </xf>
    <xf numFmtId="0" fontId="18" fillId="0" borderId="28" xfId="1" applyFont="1" applyBorder="1" applyAlignment="1">
      <alignment horizontal="center" vertical="center"/>
    </xf>
    <xf numFmtId="1" fontId="20" fillId="4" borderId="12" xfId="1" applyNumberFormat="1" applyFont="1" applyFill="1" applyBorder="1" applyAlignment="1">
      <alignment horizontal="center" vertical="center"/>
    </xf>
    <xf numFmtId="168" fontId="0" fillId="0" borderId="32" xfId="0" applyNumberForma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49" fontId="0" fillId="0" borderId="34" xfId="0" applyNumberFormat="1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49" fontId="0" fillId="0" borderId="34" xfId="0" applyNumberFormat="1" applyFill="1" applyBorder="1" applyAlignment="1">
      <alignment horizontal="center" vertical="center"/>
    </xf>
    <xf numFmtId="0" fontId="25" fillId="0" borderId="32" xfId="0" applyNumberFormat="1" applyFont="1" applyBorder="1" applyAlignment="1">
      <alignment horizontal="center"/>
    </xf>
    <xf numFmtId="0" fontId="25" fillId="0" borderId="34" xfId="0" applyNumberFormat="1" applyFont="1" applyBorder="1" applyAlignment="1">
      <alignment horizontal="center"/>
    </xf>
    <xf numFmtId="0" fontId="25" fillId="0" borderId="36" xfId="0" applyNumberFormat="1" applyFont="1" applyBorder="1" applyAlignment="1">
      <alignment horizontal="center"/>
    </xf>
    <xf numFmtId="1" fontId="26" fillId="0" borderId="3" xfId="0" applyNumberFormat="1" applyFont="1" applyBorder="1" applyAlignment="1" applyProtection="1">
      <alignment horizontal="center" vertical="center" wrapText="1"/>
      <protection locked="0"/>
    </xf>
    <xf numFmtId="1" fontId="27" fillId="0" borderId="58" xfId="0" applyNumberFormat="1" applyFont="1" applyBorder="1" applyAlignment="1" applyProtection="1">
      <alignment horizontal="left" vertical="center"/>
      <protection locked="0"/>
    </xf>
    <xf numFmtId="0" fontId="0" fillId="0" borderId="5" xfId="0" applyBorder="1" applyAlignment="1">
      <alignment horizontal="center" vertical="center" wrapText="1"/>
    </xf>
    <xf numFmtId="1" fontId="27" fillId="0" borderId="5" xfId="0" applyNumberFormat="1" applyFont="1" applyBorder="1" applyAlignment="1" applyProtection="1">
      <alignment horizontal="center" vertical="center" wrapText="1"/>
      <protection locked="0"/>
    </xf>
    <xf numFmtId="1" fontId="27" fillId="0" borderId="4" xfId="0" applyNumberFormat="1" applyFont="1" applyBorder="1" applyAlignment="1" applyProtection="1">
      <alignment horizontal="left" vertical="center"/>
      <protection locked="0"/>
    </xf>
    <xf numFmtId="2" fontId="0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164" fontId="0" fillId="0" borderId="0" xfId="0" applyNumberFormat="1" applyFont="1" applyBorder="1" applyAlignment="1" applyProtection="1">
      <alignment wrapText="1"/>
    </xf>
    <xf numFmtId="164" fontId="0" fillId="0" borderId="0" xfId="0" applyNumberFormat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2" fontId="0" fillId="0" borderId="20" xfId="0" applyNumberFormat="1" applyFont="1" applyBorder="1" applyAlignment="1">
      <alignment horizontal="center"/>
    </xf>
    <xf numFmtId="2" fontId="14" fillId="0" borderId="11" xfId="0" applyNumberFormat="1" applyFont="1" applyBorder="1" applyAlignment="1">
      <alignment horizontal="center" vertical="center"/>
    </xf>
    <xf numFmtId="2" fontId="14" fillId="0" borderId="20" xfId="0" applyNumberFormat="1" applyFont="1" applyBorder="1" applyAlignment="1">
      <alignment horizontal="center" vertical="center"/>
    </xf>
    <xf numFmtId="2" fontId="14" fillId="0" borderId="17" xfId="0" applyNumberFormat="1" applyFont="1" applyBorder="1" applyAlignment="1">
      <alignment horizontal="center" vertical="center"/>
    </xf>
    <xf numFmtId="2" fontId="14" fillId="0" borderId="13" xfId="0" applyNumberFormat="1" applyFont="1" applyBorder="1" applyAlignment="1">
      <alignment horizontal="center" vertical="center"/>
    </xf>
    <xf numFmtId="2" fontId="5" fillId="0" borderId="44" xfId="1" applyNumberFormat="1" applyFont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center"/>
    </xf>
    <xf numFmtId="0" fontId="0" fillId="0" borderId="49" xfId="0" applyBorder="1"/>
    <xf numFmtId="167" fontId="0" fillId="0" borderId="0" xfId="0" applyNumberFormat="1"/>
    <xf numFmtId="164" fontId="5" fillId="0" borderId="25" xfId="0" applyNumberFormat="1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166" fontId="5" fillId="0" borderId="37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" fontId="0" fillId="0" borderId="0" xfId="0" applyNumberFormat="1" applyFill="1" applyBorder="1"/>
    <xf numFmtId="166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 applyFont="1" applyFill="1" applyBorder="1"/>
    <xf numFmtId="0" fontId="0" fillId="0" borderId="0" xfId="0" applyNumberFormat="1" applyFill="1" applyBorder="1"/>
    <xf numFmtId="166" fontId="22" fillId="0" borderId="0" xfId="0" applyNumberFormat="1" applyFont="1" applyFill="1" applyAlignment="1">
      <alignment horizontal="center"/>
    </xf>
    <xf numFmtId="167" fontId="0" fillId="3" borderId="28" xfId="0" applyNumberFormat="1" applyFill="1" applyBorder="1" applyAlignment="1">
      <alignment horizontal="center" vertical="center"/>
    </xf>
    <xf numFmtId="167" fontId="0" fillId="0" borderId="21" xfId="0" applyNumberFormat="1" applyBorder="1" applyAlignment="1">
      <alignment horizontal="center" vertical="center"/>
    </xf>
    <xf numFmtId="167" fontId="14" fillId="0" borderId="34" xfId="0" applyNumberFormat="1" applyFont="1" applyFill="1" applyBorder="1" applyAlignment="1">
      <alignment horizontal="center" vertical="center"/>
    </xf>
    <xf numFmtId="167" fontId="14" fillId="0" borderId="55" xfId="0" applyNumberFormat="1" applyFont="1" applyFill="1" applyBorder="1" applyAlignment="1">
      <alignment horizontal="center" vertical="center"/>
    </xf>
    <xf numFmtId="167" fontId="14" fillId="0" borderId="14" xfId="0" applyNumberFormat="1" applyFont="1" applyFill="1" applyBorder="1" applyAlignment="1">
      <alignment horizontal="center" vertical="center"/>
    </xf>
    <xf numFmtId="167" fontId="22" fillId="0" borderId="0" xfId="0" applyNumberFormat="1" applyFont="1" applyAlignment="1">
      <alignment horizontal="center"/>
    </xf>
    <xf numFmtId="169" fontId="2" fillId="0" borderId="36" xfId="2" applyNumberFormat="1" applyBorder="1"/>
    <xf numFmtId="169" fontId="0" fillId="0" borderId="0" xfId="0" applyNumberFormat="1"/>
    <xf numFmtId="169" fontId="2" fillId="0" borderId="0" xfId="1" applyNumberFormat="1"/>
    <xf numFmtId="4" fontId="14" fillId="0" borderId="35" xfId="0" applyNumberFormat="1" applyFont="1" applyFill="1" applyBorder="1" applyAlignment="1">
      <alignment horizontal="center" vertical="center"/>
    </xf>
    <xf numFmtId="165" fontId="14" fillId="0" borderId="25" xfId="0" applyNumberFormat="1" applyFont="1" applyFill="1" applyBorder="1" applyAlignment="1">
      <alignment horizontal="center" vertical="center"/>
    </xf>
    <xf numFmtId="167" fontId="14" fillId="0" borderId="25" xfId="0" applyNumberFormat="1" applyFont="1" applyFill="1" applyBorder="1" applyAlignment="1">
      <alignment horizontal="center" vertical="center"/>
    </xf>
    <xf numFmtId="165" fontId="14" fillId="0" borderId="18" xfId="0" applyNumberFormat="1" applyFont="1" applyFill="1" applyBorder="1" applyAlignment="1">
      <alignment horizontal="center" vertical="center"/>
    </xf>
    <xf numFmtId="167" fontId="14" fillId="0" borderId="18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2" fillId="0" borderId="62" xfId="0" applyNumberFormat="1" applyFont="1" applyBorder="1" applyAlignment="1">
      <alignment horizontal="center" vertical="center"/>
    </xf>
    <xf numFmtId="167" fontId="2" fillId="0" borderId="47" xfId="2" applyNumberFormat="1" applyFill="1" applyBorder="1"/>
    <xf numFmtId="169" fontId="12" fillId="0" borderId="0" xfId="2" applyNumberFormat="1" applyFont="1"/>
    <xf numFmtId="164" fontId="5" fillId="0" borderId="2" xfId="0" applyNumberFormat="1" applyFont="1" applyFill="1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166" fontId="14" fillId="0" borderId="30" xfId="0" applyNumberFormat="1" applyFont="1" applyFill="1" applyBorder="1" applyAlignment="1">
      <alignment horizontal="center" vertical="center"/>
    </xf>
    <xf numFmtId="166" fontId="14" fillId="0" borderId="27" xfId="0" applyNumberFormat="1" applyFont="1" applyFill="1" applyBorder="1" applyAlignment="1">
      <alignment horizontal="center" vertical="center"/>
    </xf>
    <xf numFmtId="166" fontId="14" fillId="0" borderId="47" xfId="0" applyNumberFormat="1" applyFont="1" applyFill="1" applyBorder="1" applyAlignment="1">
      <alignment horizontal="center" vertical="center"/>
    </xf>
    <xf numFmtId="166" fontId="14" fillId="0" borderId="32" xfId="0" applyNumberFormat="1" applyFont="1" applyFill="1" applyBorder="1" applyAlignment="1">
      <alignment horizontal="center" vertical="center"/>
    </xf>
    <xf numFmtId="4" fontId="22" fillId="0" borderId="64" xfId="0" applyNumberFormat="1" applyFont="1" applyBorder="1" applyAlignment="1">
      <alignment horizontal="center" vertical="center"/>
    </xf>
    <xf numFmtId="165" fontId="28" fillId="0" borderId="39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29" xfId="0" applyNumberFormat="1" applyFont="1" applyFill="1" applyBorder="1" applyAlignment="1">
      <alignment horizontal="center" vertical="center"/>
    </xf>
    <xf numFmtId="169" fontId="14" fillId="0" borderId="34" xfId="2" applyNumberFormat="1" applyFont="1" applyFill="1" applyBorder="1"/>
    <xf numFmtId="166" fontId="22" fillId="0" borderId="46" xfId="0" applyNumberFormat="1" applyFont="1" applyBorder="1" applyAlignment="1">
      <alignment horizontal="center" vertical="center"/>
    </xf>
    <xf numFmtId="166" fontId="22" fillId="0" borderId="47" xfId="0" applyNumberFormat="1" applyFont="1" applyBorder="1" applyAlignment="1">
      <alignment horizontal="center" vertical="center"/>
    </xf>
    <xf numFmtId="166" fontId="22" fillId="0" borderId="19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left"/>
    </xf>
    <xf numFmtId="167" fontId="29" fillId="0" borderId="10" xfId="0" applyNumberFormat="1" applyFont="1" applyBorder="1" applyAlignment="1">
      <alignment horizontal="center" vertical="center"/>
    </xf>
    <xf numFmtId="167" fontId="2" fillId="4" borderId="44" xfId="0" applyNumberFormat="1" applyFont="1" applyFill="1" applyBorder="1" applyAlignment="1">
      <alignment horizontal="center" vertical="center"/>
    </xf>
    <xf numFmtId="165" fontId="28" fillId="0" borderId="10" xfId="0" applyNumberFormat="1" applyFont="1" applyFill="1" applyBorder="1" applyAlignment="1" applyProtection="1">
      <alignment horizontal="left" vertical="top"/>
      <protection locked="0"/>
    </xf>
    <xf numFmtId="164" fontId="5" fillId="0" borderId="10" xfId="0" applyNumberFormat="1" applyFont="1" applyFill="1" applyBorder="1" applyAlignment="1">
      <alignment horizontal="left" vertical="top"/>
    </xf>
    <xf numFmtId="0" fontId="5" fillId="0" borderId="10" xfId="2" applyFont="1" applyBorder="1"/>
    <xf numFmtId="166" fontId="14" fillId="0" borderId="7" xfId="0" applyNumberFormat="1" applyFont="1" applyFill="1" applyBorder="1" applyAlignment="1">
      <alignment horizontal="center" vertical="center"/>
    </xf>
    <xf numFmtId="166" fontId="14" fillId="0" borderId="8" xfId="0" applyNumberFormat="1" applyFont="1" applyFill="1" applyBorder="1" applyAlignment="1">
      <alignment horizontal="center" vertical="center"/>
    </xf>
    <xf numFmtId="166" fontId="14" fillId="0" borderId="48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166" fontId="14" fillId="0" borderId="36" xfId="0" applyNumberFormat="1" applyFont="1" applyFill="1" applyBorder="1" applyAlignment="1">
      <alignment horizontal="center" vertical="center"/>
    </xf>
    <xf numFmtId="166" fontId="14" fillId="0" borderId="14" xfId="0" applyNumberFormat="1" applyFont="1" applyFill="1" applyBorder="1" applyAlignment="1">
      <alignment horizontal="center" vertical="center"/>
    </xf>
    <xf numFmtId="166" fontId="14" fillId="0" borderId="15" xfId="0" applyNumberFormat="1" applyFont="1" applyFill="1" applyBorder="1" applyAlignment="1">
      <alignment horizontal="center" vertical="center"/>
    </xf>
    <xf numFmtId="4" fontId="14" fillId="0" borderId="40" xfId="0" applyNumberFormat="1" applyFont="1" applyFill="1" applyBorder="1" applyAlignment="1">
      <alignment horizontal="center" vertical="center"/>
    </xf>
    <xf numFmtId="4" fontId="14" fillId="0" borderId="54" xfId="0" applyNumberFormat="1" applyFont="1" applyFill="1" applyBorder="1" applyAlignment="1">
      <alignment horizontal="center" vertical="center"/>
    </xf>
    <xf numFmtId="0" fontId="14" fillId="0" borderId="55" xfId="0" applyFont="1" applyFill="1" applyBorder="1" applyAlignment="1">
      <alignment horizontal="center" vertical="center"/>
    </xf>
    <xf numFmtId="166" fontId="14" fillId="0" borderId="56" xfId="0" applyNumberFormat="1" applyFont="1" applyFill="1" applyBorder="1" applyAlignment="1">
      <alignment horizontal="center" vertical="center"/>
    </xf>
    <xf numFmtId="166" fontId="14" fillId="0" borderId="55" xfId="0" applyNumberFormat="1" applyFont="1" applyFill="1" applyBorder="1" applyAlignment="1">
      <alignment horizontal="center" vertical="center"/>
    </xf>
    <xf numFmtId="166" fontId="14" fillId="0" borderId="16" xfId="0" applyNumberFormat="1" applyFont="1" applyFill="1" applyBorder="1" applyAlignment="1">
      <alignment horizontal="center" vertical="center"/>
    </xf>
    <xf numFmtId="4" fontId="14" fillId="0" borderId="31" xfId="0" applyNumberFormat="1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166" fontId="14" fillId="0" borderId="22" xfId="0" applyNumberFormat="1" applyFont="1" applyFill="1" applyBorder="1" applyAlignment="1">
      <alignment horizontal="center" vertical="center"/>
    </xf>
    <xf numFmtId="4" fontId="14" fillId="0" borderId="26" xfId="0" applyNumberFormat="1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166" fontId="14" fillId="0" borderId="25" xfId="0" applyNumberFormat="1" applyFont="1" applyFill="1" applyBorder="1" applyAlignment="1">
      <alignment horizontal="center" vertical="center"/>
    </xf>
    <xf numFmtId="166" fontId="14" fillId="0" borderId="38" xfId="0" applyNumberFormat="1" applyFont="1" applyFill="1" applyBorder="1" applyAlignment="1">
      <alignment horizontal="center" vertical="center"/>
    </xf>
    <xf numFmtId="4" fontId="14" fillId="0" borderId="61" xfId="0" applyNumberFormat="1" applyFont="1" applyFill="1" applyBorder="1" applyAlignment="1">
      <alignment horizontal="center" vertical="center"/>
    </xf>
    <xf numFmtId="166" fontId="14" fillId="0" borderId="18" xfId="0" applyNumberFormat="1" applyFont="1" applyFill="1" applyBorder="1" applyAlignment="1">
      <alignment horizontal="center" vertical="center"/>
    </xf>
    <xf numFmtId="166" fontId="14" fillId="0" borderId="59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166" fontId="14" fillId="0" borderId="6" xfId="0" applyNumberFormat="1" applyFont="1" applyFill="1" applyBorder="1" applyAlignment="1">
      <alignment horizontal="center" vertical="center"/>
    </xf>
    <xf numFmtId="166" fontId="14" fillId="0" borderId="60" xfId="0" applyNumberFormat="1" applyFont="1" applyFill="1" applyBorder="1" applyAlignment="1">
      <alignment horizontal="center" vertical="center"/>
    </xf>
    <xf numFmtId="167" fontId="2" fillId="0" borderId="12" xfId="2" applyNumberFormat="1" applyBorder="1"/>
    <xf numFmtId="167" fontId="2" fillId="0" borderId="12" xfId="2" applyNumberFormat="1" applyBorder="1" applyAlignment="1">
      <alignment vertical="center"/>
    </xf>
    <xf numFmtId="167" fontId="2" fillId="0" borderId="18" xfId="2" applyNumberFormat="1" applyBorder="1"/>
    <xf numFmtId="169" fontId="2" fillId="0" borderId="18" xfId="2" applyNumberFormat="1" applyFill="1" applyBorder="1"/>
    <xf numFmtId="169" fontId="2" fillId="0" borderId="47" xfId="2" applyNumberForma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_rozpočet školství tab 7ab Z131207 2" xfId="2" xr:uid="{00000000-0005-0000-0000-000002000000}"/>
  </cellStyles>
  <dxfs count="0"/>
  <tableStyles count="0" defaultTableStyle="TableStyleMedium9" defaultPivotStyle="PivotStyleLight16"/>
  <colors>
    <mruColors>
      <color rgb="FFEBFFEB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11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1.bin"/><Relationship Id="rId10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0.bin"/><Relationship Id="rId9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9"/>
  <sheetViews>
    <sheetView tabSelected="1" zoomScale="90" zoomScaleNormal="90" workbookViewId="0">
      <pane xSplit="4" ySplit="5" topLeftCell="I6" activePane="bottomRight" state="frozen"/>
      <selection pane="topRight" activeCell="E1" sqref="E1"/>
      <selection pane="bottomLeft" activeCell="A6" sqref="A6"/>
      <selection pane="bottomRight" activeCell="Y6" sqref="Y6"/>
    </sheetView>
  </sheetViews>
  <sheetFormatPr defaultRowHeight="15" x14ac:dyDescent="0.25"/>
  <cols>
    <col min="1" max="1" width="5.42578125" customWidth="1"/>
    <col min="2" max="2" width="6" customWidth="1"/>
    <col min="3" max="3" width="12.5703125" hidden="1" customWidth="1"/>
    <col min="4" max="4" width="40.42578125" style="107" customWidth="1"/>
    <col min="5" max="5" width="12.5703125" style="2" customWidth="1"/>
    <col min="6" max="6" width="11" customWidth="1"/>
    <col min="7" max="7" width="11.5703125" customWidth="1"/>
    <col min="8" max="8" width="11.42578125" style="74" customWidth="1"/>
    <col min="9" max="9" width="10.42578125" style="50" customWidth="1"/>
    <col min="10" max="10" width="9.28515625" customWidth="1"/>
    <col min="11" max="11" width="9.28515625" style="282" customWidth="1"/>
    <col min="12" max="14" width="9.7109375" style="29" customWidth="1"/>
    <col min="15" max="15" width="9.28515625" customWidth="1"/>
    <col min="16" max="16" width="10.28515625" hidden="1" customWidth="1"/>
    <col min="17" max="17" width="10" style="50" customWidth="1"/>
    <col min="18" max="18" width="12.7109375" style="50" customWidth="1"/>
    <col min="19" max="19" width="11.42578125" style="30" customWidth="1"/>
    <col min="20" max="20" width="11.28515625" customWidth="1"/>
    <col min="21" max="21" width="11.7109375" style="46" customWidth="1"/>
    <col min="22" max="22" width="11.7109375" style="91" customWidth="1"/>
    <col min="23" max="23" width="10.42578125" style="91" customWidth="1"/>
    <col min="24" max="24" width="10.85546875" style="91" customWidth="1"/>
    <col min="25" max="25" width="10.28515625" style="91" customWidth="1"/>
    <col min="26" max="26" width="4.140625" style="28" customWidth="1"/>
    <col min="27" max="27" width="12.7109375" style="50" customWidth="1"/>
    <col min="28" max="28" width="9.7109375" style="50" customWidth="1"/>
    <col min="29" max="29" width="10.42578125" style="50" customWidth="1"/>
    <col min="30" max="30" width="3.7109375" customWidth="1"/>
    <col min="31" max="31" width="8.85546875" customWidth="1"/>
  </cols>
  <sheetData>
    <row r="1" spans="1:31" x14ac:dyDescent="0.25">
      <c r="A1" s="32" t="s">
        <v>133</v>
      </c>
    </row>
    <row r="2" spans="1:31" ht="15.75" thickBot="1" x14ac:dyDescent="0.3">
      <c r="A2" s="5" t="s">
        <v>49</v>
      </c>
      <c r="V2" s="92"/>
      <c r="W2" s="92"/>
      <c r="X2" s="92"/>
      <c r="Y2" s="269"/>
      <c r="Z2" s="270"/>
    </row>
    <row r="3" spans="1:31" ht="15.75" thickBot="1" x14ac:dyDescent="0.3">
      <c r="A3" s="326" t="s">
        <v>46</v>
      </c>
      <c r="E3" s="364" t="s">
        <v>140</v>
      </c>
      <c r="F3" s="365"/>
      <c r="G3" s="365"/>
      <c r="H3" s="366"/>
      <c r="I3" s="93" t="s">
        <v>70</v>
      </c>
      <c r="J3" s="41"/>
      <c r="K3" s="293"/>
      <c r="L3" s="40"/>
      <c r="M3" s="40"/>
      <c r="N3" s="40"/>
      <c r="O3" s="41"/>
      <c r="P3" s="41"/>
      <c r="Q3" s="51"/>
      <c r="R3" s="54" t="s">
        <v>47</v>
      </c>
      <c r="S3" s="134"/>
      <c r="T3" s="34"/>
      <c r="U3" s="47"/>
      <c r="V3" s="265" t="s">
        <v>125</v>
      </c>
      <c r="W3" s="266"/>
      <c r="X3" s="268" t="s">
        <v>126</v>
      </c>
      <c r="Y3" s="267"/>
      <c r="AA3" s="56" t="s">
        <v>80</v>
      </c>
    </row>
    <row r="4" spans="1:31" ht="53.65" customHeight="1" thickBot="1" x14ac:dyDescent="0.3">
      <c r="A4" s="6" t="s">
        <v>0</v>
      </c>
      <c r="B4" s="38" t="s">
        <v>1</v>
      </c>
      <c r="C4" s="250" t="s">
        <v>119</v>
      </c>
      <c r="D4" s="108" t="s">
        <v>50</v>
      </c>
      <c r="E4" s="1" t="s">
        <v>109</v>
      </c>
      <c r="F4" s="42" t="s">
        <v>2</v>
      </c>
      <c r="G4" s="63" t="s">
        <v>72</v>
      </c>
      <c r="H4" s="133" t="s">
        <v>110</v>
      </c>
      <c r="I4" s="62" t="s">
        <v>92</v>
      </c>
      <c r="J4" s="33" t="s">
        <v>128</v>
      </c>
      <c r="K4" s="319" t="s">
        <v>137</v>
      </c>
      <c r="L4" s="283" t="s">
        <v>135</v>
      </c>
      <c r="M4" s="283" t="s">
        <v>143</v>
      </c>
      <c r="N4" s="285" t="s">
        <v>48</v>
      </c>
      <c r="O4" s="312" t="s">
        <v>95</v>
      </c>
      <c r="P4" s="4"/>
      <c r="Q4" s="52" t="s">
        <v>73</v>
      </c>
      <c r="R4" s="55" t="s">
        <v>71</v>
      </c>
      <c r="S4" s="216" t="s">
        <v>2</v>
      </c>
      <c r="T4" s="35" t="s">
        <v>94</v>
      </c>
      <c r="U4" s="48" t="s">
        <v>110</v>
      </c>
      <c r="V4" s="224" t="s">
        <v>116</v>
      </c>
      <c r="W4" s="264" t="s">
        <v>124</v>
      </c>
      <c r="X4" s="279" t="s">
        <v>82</v>
      </c>
      <c r="Y4" s="230" t="s">
        <v>117</v>
      </c>
      <c r="Z4" s="76"/>
      <c r="AA4" s="57" t="s">
        <v>77</v>
      </c>
      <c r="AB4" s="58" t="s">
        <v>76</v>
      </c>
      <c r="AC4" s="59" t="s">
        <v>75</v>
      </c>
      <c r="AE4" s="271" t="s">
        <v>127</v>
      </c>
    </row>
    <row r="5" spans="1:31" ht="11.25" customHeight="1" thickBot="1" x14ac:dyDescent="0.3">
      <c r="A5" s="3"/>
      <c r="B5" s="3"/>
      <c r="C5" s="3"/>
      <c r="D5" s="109"/>
      <c r="E5" s="169"/>
      <c r="F5" s="170"/>
      <c r="G5" s="171"/>
      <c r="H5" s="172"/>
      <c r="I5" s="61" t="s">
        <v>147</v>
      </c>
      <c r="J5" s="43" t="s">
        <v>147</v>
      </c>
      <c r="K5" s="294" t="s">
        <v>148</v>
      </c>
      <c r="L5" s="284" t="s">
        <v>149</v>
      </c>
      <c r="M5" s="284" t="s">
        <v>150</v>
      </c>
      <c r="N5" s="171" t="s">
        <v>152</v>
      </c>
      <c r="O5" s="313" t="s">
        <v>147</v>
      </c>
      <c r="P5" s="43"/>
      <c r="Q5" s="53" t="s">
        <v>152</v>
      </c>
      <c r="R5" s="138"/>
      <c r="S5" s="217"/>
      <c r="T5" s="139"/>
      <c r="U5" s="49"/>
      <c r="V5" s="274"/>
      <c r="W5" s="280" t="s">
        <v>154</v>
      </c>
      <c r="X5" s="166"/>
      <c r="Y5" s="231" t="s">
        <v>154</v>
      </c>
      <c r="AB5" s="30"/>
      <c r="AC5" s="30"/>
    </row>
    <row r="6" spans="1:31" ht="28.5" x14ac:dyDescent="0.25">
      <c r="A6" s="94">
        <v>301</v>
      </c>
      <c r="B6" s="95">
        <v>3121</v>
      </c>
      <c r="C6" s="252">
        <v>62690043</v>
      </c>
      <c r="D6" s="110" t="s">
        <v>3</v>
      </c>
      <c r="E6" s="173">
        <v>4773.79</v>
      </c>
      <c r="F6" s="174">
        <v>480.37</v>
      </c>
      <c r="G6" s="175">
        <v>0</v>
      </c>
      <c r="H6" s="176">
        <v>384.3</v>
      </c>
      <c r="I6" s="168"/>
      <c r="J6" s="222">
        <v>0.36</v>
      </c>
      <c r="K6" s="222"/>
      <c r="L6" s="307"/>
      <c r="M6" s="307"/>
      <c r="N6" s="314"/>
      <c r="O6" s="314"/>
      <c r="P6" s="332"/>
      <c r="Q6" s="333"/>
      <c r="R6" s="141">
        <f>SUM(E6,I6:N6,P6:P6)</f>
        <v>4774.1499999999996</v>
      </c>
      <c r="S6" s="218">
        <f t="shared" ref="S6:S37" si="0">F6+N6</f>
        <v>480.37</v>
      </c>
      <c r="T6" s="142">
        <f t="shared" ref="T6:T37" si="1">G6+O6</f>
        <v>0</v>
      </c>
      <c r="U6" s="143">
        <f t="shared" ref="U6:U37" si="2">H6+Q6</f>
        <v>384.3</v>
      </c>
      <c r="V6" s="275">
        <v>4</v>
      </c>
      <c r="W6" s="233"/>
      <c r="X6" s="328">
        <f>3.49+32.4</f>
        <v>35.89</v>
      </c>
      <c r="Y6" s="327"/>
      <c r="Z6" s="144"/>
      <c r="AA6" s="309">
        <f>SUM(I6:N6)</f>
        <v>0.36</v>
      </c>
      <c r="AB6" s="146">
        <f t="shared" ref="AB6:AB37" si="3">+O6</f>
        <v>0</v>
      </c>
      <c r="AC6" s="147">
        <f>Q6</f>
        <v>0</v>
      </c>
      <c r="AE6" s="272" t="str">
        <f>IF(ABS(AA6)+ABS(AB6)+ABS(AC6)+ABS(W6)+ABS(Y6)&gt;0,"A","")</f>
        <v>A</v>
      </c>
    </row>
    <row r="7" spans="1:31" ht="28.5" x14ac:dyDescent="0.25">
      <c r="A7" s="65">
        <v>302</v>
      </c>
      <c r="B7" s="96">
        <v>3121</v>
      </c>
      <c r="C7" s="253">
        <v>62690060</v>
      </c>
      <c r="D7" s="110" t="s">
        <v>4</v>
      </c>
      <c r="E7" s="173">
        <v>6808.19</v>
      </c>
      <c r="F7" s="177">
        <v>473.27</v>
      </c>
      <c r="G7" s="175">
        <v>0</v>
      </c>
      <c r="H7" s="178">
        <v>379.03999999999996</v>
      </c>
      <c r="I7" s="168"/>
      <c r="J7" s="167"/>
      <c r="K7" s="222"/>
      <c r="L7" s="307"/>
      <c r="M7" s="140">
        <v>10</v>
      </c>
      <c r="N7" s="314"/>
      <c r="O7" s="314"/>
      <c r="P7" s="332"/>
      <c r="Q7" s="333"/>
      <c r="R7" s="141">
        <f t="shared" ref="R7:R70" si="4">SUM(E7,I7:N7,P7:P7)</f>
        <v>6818.19</v>
      </c>
      <c r="S7" s="218">
        <f t="shared" si="0"/>
        <v>473.27</v>
      </c>
      <c r="T7" s="142">
        <f t="shared" si="1"/>
        <v>0</v>
      </c>
      <c r="U7" s="143">
        <f t="shared" si="2"/>
        <v>379.03999999999996</v>
      </c>
      <c r="V7" s="275">
        <v>4</v>
      </c>
      <c r="W7" s="233"/>
      <c r="X7" s="226"/>
      <c r="Y7" s="233"/>
      <c r="Z7" s="144"/>
      <c r="AA7" s="148">
        <f t="shared" ref="AA7:AA70" si="5">SUM(I7:N7)</f>
        <v>10</v>
      </c>
      <c r="AB7" s="149">
        <f t="shared" si="3"/>
        <v>0</v>
      </c>
      <c r="AC7" s="273">
        <f t="shared" ref="AC7:AC70" si="6">Q7</f>
        <v>0</v>
      </c>
      <c r="AE7" s="272" t="str">
        <f t="shared" ref="AE7:AE70" si="7">IF(ABS(AA7)+ABS(AB7)+ABS(AC7)+ABS(W7)+ABS(Y7)&gt;0,"A","")</f>
        <v>A</v>
      </c>
    </row>
    <row r="8" spans="1:31" ht="42.75" x14ac:dyDescent="0.25">
      <c r="A8" s="65">
        <v>303</v>
      </c>
      <c r="B8" s="96">
        <v>3121</v>
      </c>
      <c r="C8" s="253">
        <v>62690221</v>
      </c>
      <c r="D8" s="111" t="s">
        <v>90</v>
      </c>
      <c r="E8" s="173">
        <v>3464.79</v>
      </c>
      <c r="F8" s="177">
        <v>367.31</v>
      </c>
      <c r="G8" s="175">
        <v>0</v>
      </c>
      <c r="H8" s="178">
        <v>293.86</v>
      </c>
      <c r="I8" s="168"/>
      <c r="J8" s="140"/>
      <c r="K8" s="222"/>
      <c r="L8" s="307"/>
      <c r="M8" s="140"/>
      <c r="N8" s="314"/>
      <c r="O8" s="314"/>
      <c r="P8" s="332"/>
      <c r="Q8" s="333"/>
      <c r="R8" s="141">
        <f t="shared" si="4"/>
        <v>3464.79</v>
      </c>
      <c r="S8" s="218">
        <f t="shared" si="0"/>
        <v>367.31</v>
      </c>
      <c r="T8" s="142">
        <f t="shared" si="1"/>
        <v>0</v>
      </c>
      <c r="U8" s="143">
        <f t="shared" si="2"/>
        <v>293.86</v>
      </c>
      <c r="V8" s="275">
        <v>4</v>
      </c>
      <c r="W8" s="233"/>
      <c r="X8" s="226">
        <v>19</v>
      </c>
      <c r="Y8" s="233"/>
      <c r="Z8" s="144"/>
      <c r="AA8" s="148">
        <f t="shared" si="5"/>
        <v>0</v>
      </c>
      <c r="AB8" s="149">
        <f t="shared" si="3"/>
        <v>0</v>
      </c>
      <c r="AC8" s="273">
        <f t="shared" si="6"/>
        <v>0</v>
      </c>
      <c r="AE8" s="272" t="str">
        <f t="shared" si="7"/>
        <v/>
      </c>
    </row>
    <row r="9" spans="1:31" ht="51.75" customHeight="1" x14ac:dyDescent="0.25">
      <c r="A9" s="65">
        <v>312</v>
      </c>
      <c r="B9" s="96">
        <v>3122</v>
      </c>
      <c r="C9" s="253">
        <v>62690272</v>
      </c>
      <c r="D9" s="110" t="s">
        <v>86</v>
      </c>
      <c r="E9" s="173">
        <v>6878.5599999999995</v>
      </c>
      <c r="F9" s="177">
        <v>1606.54</v>
      </c>
      <c r="G9" s="175">
        <v>0</v>
      </c>
      <c r="H9" s="178">
        <v>1285.19</v>
      </c>
      <c r="I9" s="168"/>
      <c r="J9" s="222"/>
      <c r="K9" s="222"/>
      <c r="L9" s="307"/>
      <c r="M9" s="140">
        <v>10</v>
      </c>
      <c r="N9" s="314"/>
      <c r="O9" s="314"/>
      <c r="P9" s="332"/>
      <c r="Q9" s="333"/>
      <c r="R9" s="141">
        <f t="shared" si="4"/>
        <v>6888.5599999999995</v>
      </c>
      <c r="S9" s="218">
        <f t="shared" si="0"/>
        <v>1606.54</v>
      </c>
      <c r="T9" s="142">
        <f t="shared" si="1"/>
        <v>0</v>
      </c>
      <c r="U9" s="143">
        <f t="shared" si="2"/>
        <v>1285.19</v>
      </c>
      <c r="V9" s="275">
        <v>6</v>
      </c>
      <c r="W9" s="233"/>
      <c r="X9" s="225">
        <f>1.6+485</f>
        <v>486.6</v>
      </c>
      <c r="Y9" s="232"/>
      <c r="Z9" s="144"/>
      <c r="AA9" s="148">
        <f t="shared" si="5"/>
        <v>10</v>
      </c>
      <c r="AB9" s="149">
        <f t="shared" si="3"/>
        <v>0</v>
      </c>
      <c r="AC9" s="273">
        <f t="shared" si="6"/>
        <v>0</v>
      </c>
      <c r="AE9" s="272" t="str">
        <f t="shared" si="7"/>
        <v>A</v>
      </c>
    </row>
    <row r="10" spans="1:31" ht="28.5" x14ac:dyDescent="0.25">
      <c r="A10" s="65">
        <v>307</v>
      </c>
      <c r="B10" s="96">
        <v>3122</v>
      </c>
      <c r="C10" s="253">
        <v>62690281</v>
      </c>
      <c r="D10" s="110" t="s">
        <v>5</v>
      </c>
      <c r="E10" s="173">
        <v>4835.4099999999989</v>
      </c>
      <c r="F10" s="177">
        <v>652.11</v>
      </c>
      <c r="G10" s="175">
        <v>185</v>
      </c>
      <c r="H10" s="178">
        <v>521.69000000000005</v>
      </c>
      <c r="I10" s="168"/>
      <c r="J10" s="140"/>
      <c r="K10" s="222"/>
      <c r="L10" s="307"/>
      <c r="M10" s="140">
        <v>10</v>
      </c>
      <c r="N10" s="314"/>
      <c r="O10" s="314"/>
      <c r="P10" s="332"/>
      <c r="Q10" s="333"/>
      <c r="R10" s="141">
        <f t="shared" si="4"/>
        <v>4845.4099999999989</v>
      </c>
      <c r="S10" s="218">
        <f t="shared" si="0"/>
        <v>652.11</v>
      </c>
      <c r="T10" s="142">
        <f t="shared" si="1"/>
        <v>185</v>
      </c>
      <c r="U10" s="143">
        <f t="shared" si="2"/>
        <v>521.69000000000005</v>
      </c>
      <c r="V10" s="275">
        <v>4</v>
      </c>
      <c r="W10" s="233"/>
      <c r="X10" s="226"/>
      <c r="Y10" s="233"/>
      <c r="Z10" s="144"/>
      <c r="AA10" s="148">
        <f t="shared" si="5"/>
        <v>10</v>
      </c>
      <c r="AB10" s="149">
        <f t="shared" si="3"/>
        <v>0</v>
      </c>
      <c r="AC10" s="273">
        <f t="shared" si="6"/>
        <v>0</v>
      </c>
      <c r="AE10" s="272" t="str">
        <f t="shared" si="7"/>
        <v>A</v>
      </c>
    </row>
    <row r="11" spans="1:31" ht="42.75" x14ac:dyDescent="0.25">
      <c r="A11" s="65">
        <v>308</v>
      </c>
      <c r="B11" s="96">
        <v>3127</v>
      </c>
      <c r="C11" s="253">
        <v>15062848</v>
      </c>
      <c r="D11" s="110" t="s">
        <v>6</v>
      </c>
      <c r="E11" s="179">
        <v>16643.39</v>
      </c>
      <c r="F11" s="180">
        <v>1853.28</v>
      </c>
      <c r="G11" s="181">
        <v>0</v>
      </c>
      <c r="H11" s="182">
        <v>1545.6399999999999</v>
      </c>
      <c r="I11" s="168"/>
      <c r="J11" s="140"/>
      <c r="K11" s="222">
        <v>866.7</v>
      </c>
      <c r="L11" s="307">
        <v>240.9</v>
      </c>
      <c r="M11" s="307"/>
      <c r="N11" s="314"/>
      <c r="O11" s="334"/>
      <c r="P11" s="332"/>
      <c r="Q11" s="333"/>
      <c r="R11" s="141">
        <f t="shared" si="4"/>
        <v>17750.990000000002</v>
      </c>
      <c r="S11" s="218">
        <f t="shared" si="0"/>
        <v>1853.28</v>
      </c>
      <c r="T11" s="142">
        <f t="shared" si="1"/>
        <v>0</v>
      </c>
      <c r="U11" s="143">
        <f t="shared" si="2"/>
        <v>1545.6399999999999</v>
      </c>
      <c r="V11" s="275">
        <v>5</v>
      </c>
      <c r="W11" s="233"/>
      <c r="X11" s="226">
        <f>1277+638.2</f>
        <v>1915.2</v>
      </c>
      <c r="Y11" s="233">
        <v>638.20000000000005</v>
      </c>
      <c r="Z11" s="150"/>
      <c r="AA11" s="148">
        <f t="shared" si="5"/>
        <v>1107.6000000000001</v>
      </c>
      <c r="AB11" s="149">
        <f t="shared" si="3"/>
        <v>0</v>
      </c>
      <c r="AC11" s="273">
        <f t="shared" si="6"/>
        <v>0</v>
      </c>
      <c r="AE11" s="272" t="str">
        <f t="shared" si="7"/>
        <v>A</v>
      </c>
    </row>
    <row r="12" spans="1:31" ht="28.5" x14ac:dyDescent="0.25">
      <c r="A12" s="65">
        <v>309</v>
      </c>
      <c r="B12" s="96">
        <v>3127</v>
      </c>
      <c r="C12" s="253">
        <v>175790</v>
      </c>
      <c r="D12" s="110" t="s">
        <v>7</v>
      </c>
      <c r="E12" s="179">
        <v>10396.64</v>
      </c>
      <c r="F12" s="180">
        <v>2098.84</v>
      </c>
      <c r="G12" s="181">
        <v>0</v>
      </c>
      <c r="H12" s="182">
        <v>1767.0600000000002</v>
      </c>
      <c r="I12" s="168">
        <v>240</v>
      </c>
      <c r="J12" s="140"/>
      <c r="K12" s="222">
        <v>297.7</v>
      </c>
      <c r="L12" s="307">
        <v>-60.8</v>
      </c>
      <c r="M12" s="307"/>
      <c r="N12" s="314"/>
      <c r="O12" s="334"/>
      <c r="P12" s="332"/>
      <c r="Q12" s="333"/>
      <c r="R12" s="141">
        <f t="shared" si="4"/>
        <v>10873.54</v>
      </c>
      <c r="S12" s="218">
        <f t="shared" si="0"/>
        <v>2098.84</v>
      </c>
      <c r="T12" s="142">
        <f t="shared" si="1"/>
        <v>0</v>
      </c>
      <c r="U12" s="143">
        <f t="shared" si="2"/>
        <v>1767.0600000000002</v>
      </c>
      <c r="V12" s="275">
        <v>5</v>
      </c>
      <c r="W12" s="233"/>
      <c r="X12" s="226">
        <f>16+334.6+219.2</f>
        <v>569.79999999999995</v>
      </c>
      <c r="Y12" s="233">
        <v>219.2</v>
      </c>
      <c r="Z12" s="150"/>
      <c r="AA12" s="148">
        <f t="shared" si="5"/>
        <v>476.90000000000003</v>
      </c>
      <c r="AB12" s="149">
        <f t="shared" si="3"/>
        <v>0</v>
      </c>
      <c r="AC12" s="273">
        <f t="shared" si="6"/>
        <v>0</v>
      </c>
      <c r="AE12" s="272" t="str">
        <f t="shared" si="7"/>
        <v>A</v>
      </c>
    </row>
    <row r="13" spans="1:31" ht="42.75" x14ac:dyDescent="0.25">
      <c r="A13" s="65">
        <v>317</v>
      </c>
      <c r="B13" s="96">
        <v>3127</v>
      </c>
      <c r="C13" s="253">
        <v>145238</v>
      </c>
      <c r="D13" s="110" t="s">
        <v>8</v>
      </c>
      <c r="E13" s="179">
        <v>7727.6499999999987</v>
      </c>
      <c r="F13" s="180">
        <v>1490.91</v>
      </c>
      <c r="G13" s="181">
        <v>120.8</v>
      </c>
      <c r="H13" s="182">
        <v>1203.03</v>
      </c>
      <c r="I13" s="168"/>
      <c r="J13" s="140"/>
      <c r="K13" s="222"/>
      <c r="L13" s="307"/>
      <c r="M13" s="307"/>
      <c r="N13" s="314"/>
      <c r="O13" s="314"/>
      <c r="P13" s="332"/>
      <c r="Q13" s="333"/>
      <c r="R13" s="141">
        <f t="shared" si="4"/>
        <v>7727.6499999999987</v>
      </c>
      <c r="S13" s="218">
        <f t="shared" si="0"/>
        <v>1490.91</v>
      </c>
      <c r="T13" s="142">
        <f t="shared" si="1"/>
        <v>120.8</v>
      </c>
      <c r="U13" s="143">
        <f t="shared" si="2"/>
        <v>1203.03</v>
      </c>
      <c r="V13" s="275">
        <v>4</v>
      </c>
      <c r="W13" s="233"/>
      <c r="X13" s="226"/>
      <c r="Y13" s="233"/>
      <c r="Z13" s="150"/>
      <c r="AA13" s="148">
        <f t="shared" si="5"/>
        <v>0</v>
      </c>
      <c r="AB13" s="149">
        <f t="shared" si="3"/>
        <v>0</v>
      </c>
      <c r="AC13" s="273">
        <f t="shared" si="6"/>
        <v>0</v>
      </c>
      <c r="AE13" s="272" t="str">
        <f t="shared" si="7"/>
        <v/>
      </c>
    </row>
    <row r="14" spans="1:31" ht="28.5" x14ac:dyDescent="0.25">
      <c r="A14" s="65">
        <v>305</v>
      </c>
      <c r="B14" s="96">
        <v>3122</v>
      </c>
      <c r="C14" s="253">
        <v>62690035</v>
      </c>
      <c r="D14" s="110" t="s">
        <v>65</v>
      </c>
      <c r="E14" s="179">
        <v>6375.3099999999995</v>
      </c>
      <c r="F14" s="180">
        <v>1370.32</v>
      </c>
      <c r="G14" s="181">
        <v>0</v>
      </c>
      <c r="H14" s="182">
        <v>1096.22</v>
      </c>
      <c r="I14" s="168"/>
      <c r="J14" s="140"/>
      <c r="K14" s="222">
        <v>91.6</v>
      </c>
      <c r="L14" s="307"/>
      <c r="M14" s="140">
        <v>10</v>
      </c>
      <c r="N14" s="314">
        <v>51.05</v>
      </c>
      <c r="O14" s="314"/>
      <c r="P14" s="332"/>
      <c r="Q14" s="333">
        <v>51.05</v>
      </c>
      <c r="R14" s="141">
        <f t="shared" si="4"/>
        <v>6527.96</v>
      </c>
      <c r="S14" s="218">
        <f t="shared" si="0"/>
        <v>1421.37</v>
      </c>
      <c r="T14" s="142">
        <f t="shared" si="1"/>
        <v>0</v>
      </c>
      <c r="U14" s="143">
        <f t="shared" si="2"/>
        <v>1147.27</v>
      </c>
      <c r="V14" s="275">
        <v>4</v>
      </c>
      <c r="W14" s="233"/>
      <c r="X14" s="226">
        <f>28+67.5</f>
        <v>95.5</v>
      </c>
      <c r="Y14" s="233">
        <v>67.5</v>
      </c>
      <c r="Z14" s="150"/>
      <c r="AA14" s="148">
        <f t="shared" si="5"/>
        <v>152.64999999999998</v>
      </c>
      <c r="AB14" s="149">
        <f t="shared" si="3"/>
        <v>0</v>
      </c>
      <c r="AC14" s="273">
        <f t="shared" si="6"/>
        <v>51.05</v>
      </c>
      <c r="AE14" s="272" t="str">
        <f t="shared" si="7"/>
        <v>A</v>
      </c>
    </row>
    <row r="15" spans="1:31" ht="42.75" x14ac:dyDescent="0.25">
      <c r="A15" s="65">
        <v>314</v>
      </c>
      <c r="B15" s="96">
        <v>3122</v>
      </c>
      <c r="C15" s="253">
        <v>581101</v>
      </c>
      <c r="D15" s="110" t="s">
        <v>9</v>
      </c>
      <c r="E15" s="179">
        <v>8214.89</v>
      </c>
      <c r="F15" s="180">
        <v>851.66000000000008</v>
      </c>
      <c r="G15" s="181">
        <v>0</v>
      </c>
      <c r="H15" s="182">
        <v>681.36</v>
      </c>
      <c r="I15" s="168"/>
      <c r="J15" s="140"/>
      <c r="K15" s="222"/>
      <c r="L15" s="140">
        <v>379</v>
      </c>
      <c r="M15" s="140">
        <v>0</v>
      </c>
      <c r="N15" s="314"/>
      <c r="O15" s="334"/>
      <c r="P15" s="332"/>
      <c r="Q15" s="333"/>
      <c r="R15" s="141">
        <f t="shared" si="4"/>
        <v>8593.89</v>
      </c>
      <c r="S15" s="218">
        <f t="shared" si="0"/>
        <v>851.66000000000008</v>
      </c>
      <c r="T15" s="142">
        <f t="shared" si="1"/>
        <v>0</v>
      </c>
      <c r="U15" s="143">
        <f t="shared" si="2"/>
        <v>681.36</v>
      </c>
      <c r="V15" s="275">
        <v>4</v>
      </c>
      <c r="W15" s="233"/>
      <c r="X15" s="226">
        <v>23.64</v>
      </c>
      <c r="Y15" s="233"/>
      <c r="Z15" s="150"/>
      <c r="AA15" s="148">
        <f t="shared" si="5"/>
        <v>379</v>
      </c>
      <c r="AB15" s="149">
        <f t="shared" si="3"/>
        <v>0</v>
      </c>
      <c r="AC15" s="273">
        <f t="shared" si="6"/>
        <v>0</v>
      </c>
      <c r="AE15" s="272" t="str">
        <f t="shared" si="7"/>
        <v>A</v>
      </c>
    </row>
    <row r="16" spans="1:31" ht="28.5" x14ac:dyDescent="0.25">
      <c r="A16" s="65">
        <v>445</v>
      </c>
      <c r="B16" s="96">
        <v>3127</v>
      </c>
      <c r="C16" s="253">
        <v>87751</v>
      </c>
      <c r="D16" s="110" t="s">
        <v>10</v>
      </c>
      <c r="E16" s="179">
        <v>9576.4399999999987</v>
      </c>
      <c r="F16" s="180">
        <v>1374.99</v>
      </c>
      <c r="G16" s="181">
        <v>130</v>
      </c>
      <c r="H16" s="182">
        <v>1100.0400000000002</v>
      </c>
      <c r="I16" s="168"/>
      <c r="J16" s="140"/>
      <c r="K16" s="222">
        <v>490.3</v>
      </c>
      <c r="L16" s="307">
        <v>79.3</v>
      </c>
      <c r="M16" s="307"/>
      <c r="N16" s="314"/>
      <c r="O16" s="334"/>
      <c r="P16" s="332"/>
      <c r="Q16" s="333"/>
      <c r="R16" s="141">
        <f t="shared" si="4"/>
        <v>10146.039999999997</v>
      </c>
      <c r="S16" s="218">
        <f t="shared" si="0"/>
        <v>1374.99</v>
      </c>
      <c r="T16" s="142">
        <f t="shared" si="1"/>
        <v>130</v>
      </c>
      <c r="U16" s="143">
        <f t="shared" si="2"/>
        <v>1100.0400000000002</v>
      </c>
      <c r="V16" s="275">
        <v>4</v>
      </c>
      <c r="W16" s="233"/>
      <c r="X16" s="226">
        <f>757.1+361</f>
        <v>1118.0999999999999</v>
      </c>
      <c r="Y16" s="233">
        <v>361</v>
      </c>
      <c r="Z16" s="150"/>
      <c r="AA16" s="148">
        <f t="shared" si="5"/>
        <v>569.6</v>
      </c>
      <c r="AB16" s="149">
        <f t="shared" si="3"/>
        <v>0</v>
      </c>
      <c r="AC16" s="273">
        <f t="shared" si="6"/>
        <v>0</v>
      </c>
      <c r="AE16" s="272" t="str">
        <f t="shared" si="7"/>
        <v>A</v>
      </c>
    </row>
    <row r="17" spans="1:31" ht="28.5" x14ac:dyDescent="0.25">
      <c r="A17" s="65">
        <v>318</v>
      </c>
      <c r="B17" s="96">
        <v>3127</v>
      </c>
      <c r="C17" s="253">
        <v>527939</v>
      </c>
      <c r="D17" s="111" t="s">
        <v>11</v>
      </c>
      <c r="E17" s="179">
        <v>11126.28</v>
      </c>
      <c r="F17" s="180">
        <v>741.98</v>
      </c>
      <c r="G17" s="181">
        <v>0</v>
      </c>
      <c r="H17" s="182">
        <v>596.36</v>
      </c>
      <c r="I17" s="168"/>
      <c r="J17" s="140"/>
      <c r="K17" s="222"/>
      <c r="L17" s="307">
        <v>2.7</v>
      </c>
      <c r="M17" s="307"/>
      <c r="N17" s="314">
        <v>0.47</v>
      </c>
      <c r="O17" s="334"/>
      <c r="P17" s="332"/>
      <c r="Q17" s="333">
        <v>0.47</v>
      </c>
      <c r="R17" s="141">
        <f t="shared" si="4"/>
        <v>11129.45</v>
      </c>
      <c r="S17" s="218">
        <f t="shared" si="0"/>
        <v>742.45</v>
      </c>
      <c r="T17" s="142">
        <f t="shared" si="1"/>
        <v>0</v>
      </c>
      <c r="U17" s="143">
        <f t="shared" si="2"/>
        <v>596.83000000000004</v>
      </c>
      <c r="V17" s="275">
        <v>4</v>
      </c>
      <c r="W17" s="233"/>
      <c r="X17" s="226">
        <v>19</v>
      </c>
      <c r="Y17" s="233"/>
      <c r="Z17" s="150"/>
      <c r="AA17" s="148">
        <f t="shared" si="5"/>
        <v>3.17</v>
      </c>
      <c r="AB17" s="149">
        <f t="shared" si="3"/>
        <v>0</v>
      </c>
      <c r="AC17" s="273">
        <f t="shared" si="6"/>
        <v>0.47</v>
      </c>
      <c r="AE17" s="272" t="str">
        <f t="shared" si="7"/>
        <v>A</v>
      </c>
    </row>
    <row r="18" spans="1:31" ht="28.5" x14ac:dyDescent="0.25">
      <c r="A18" s="65">
        <v>319</v>
      </c>
      <c r="B18" s="96">
        <v>3124</v>
      </c>
      <c r="C18" s="253">
        <v>62690400</v>
      </c>
      <c r="D18" s="110" t="s">
        <v>81</v>
      </c>
      <c r="E18" s="179">
        <v>7186.5800000000008</v>
      </c>
      <c r="F18" s="180">
        <v>1430.42</v>
      </c>
      <c r="G18" s="181">
        <v>0</v>
      </c>
      <c r="H18" s="182">
        <v>1144.31</v>
      </c>
      <c r="I18" s="168"/>
      <c r="J18" s="140"/>
      <c r="K18" s="222">
        <v>57.5</v>
      </c>
      <c r="L18" s="140">
        <v>18</v>
      </c>
      <c r="M18" s="140"/>
      <c r="N18" s="314"/>
      <c r="O18" s="334"/>
      <c r="P18" s="332"/>
      <c r="Q18" s="333"/>
      <c r="R18" s="141">
        <f t="shared" si="4"/>
        <v>7262.0800000000008</v>
      </c>
      <c r="S18" s="218">
        <f t="shared" si="0"/>
        <v>1430.42</v>
      </c>
      <c r="T18" s="142">
        <f t="shared" si="1"/>
        <v>0</v>
      </c>
      <c r="U18" s="143">
        <f t="shared" si="2"/>
        <v>1144.31</v>
      </c>
      <c r="V18" s="275">
        <v>4</v>
      </c>
      <c r="W18" s="233"/>
      <c r="X18" s="226">
        <f>95.8+24+42.3</f>
        <v>162.1</v>
      </c>
      <c r="Y18" s="233">
        <v>42.3</v>
      </c>
      <c r="Z18" s="150"/>
      <c r="AA18" s="148">
        <f t="shared" si="5"/>
        <v>75.5</v>
      </c>
      <c r="AB18" s="149">
        <f t="shared" si="3"/>
        <v>0</v>
      </c>
      <c r="AC18" s="273">
        <f t="shared" si="6"/>
        <v>0</v>
      </c>
      <c r="AE18" s="272" t="str">
        <f t="shared" si="7"/>
        <v>A</v>
      </c>
    </row>
    <row r="19" spans="1:31" ht="42.75" x14ac:dyDescent="0.25">
      <c r="A19" s="65">
        <v>320</v>
      </c>
      <c r="B19" s="96">
        <v>3114</v>
      </c>
      <c r="C19" s="253">
        <v>62693514</v>
      </c>
      <c r="D19" s="110" t="s">
        <v>12</v>
      </c>
      <c r="E19" s="179">
        <v>5543.6500000000005</v>
      </c>
      <c r="F19" s="180">
        <v>570.86</v>
      </c>
      <c r="G19" s="181">
        <v>0</v>
      </c>
      <c r="H19" s="182">
        <v>456.7</v>
      </c>
      <c r="I19" s="168"/>
      <c r="J19" s="140"/>
      <c r="K19" s="222"/>
      <c r="L19" s="307"/>
      <c r="M19" s="307"/>
      <c r="N19" s="314">
        <v>58.28</v>
      </c>
      <c r="O19" s="314"/>
      <c r="P19" s="332"/>
      <c r="Q19" s="333">
        <v>58.28</v>
      </c>
      <c r="R19" s="141">
        <f t="shared" si="4"/>
        <v>5601.93</v>
      </c>
      <c r="S19" s="218">
        <f t="shared" si="0"/>
        <v>629.14</v>
      </c>
      <c r="T19" s="142">
        <f t="shared" si="1"/>
        <v>0</v>
      </c>
      <c r="U19" s="143">
        <f t="shared" si="2"/>
        <v>514.98</v>
      </c>
      <c r="V19" s="275">
        <v>2</v>
      </c>
      <c r="W19" s="233"/>
      <c r="X19" s="226">
        <v>7.8</v>
      </c>
      <c r="Y19" s="233"/>
      <c r="Z19" s="150"/>
      <c r="AA19" s="148">
        <f t="shared" si="5"/>
        <v>58.28</v>
      </c>
      <c r="AB19" s="149">
        <f t="shared" si="3"/>
        <v>0</v>
      </c>
      <c r="AC19" s="273">
        <f t="shared" si="6"/>
        <v>58.28</v>
      </c>
      <c r="AE19" s="272" t="str">
        <f t="shared" si="7"/>
        <v>A</v>
      </c>
    </row>
    <row r="20" spans="1:31" ht="42.75" x14ac:dyDescent="0.25">
      <c r="A20" s="65">
        <v>321</v>
      </c>
      <c r="B20" s="96">
        <v>3114</v>
      </c>
      <c r="C20" s="253">
        <v>62690361</v>
      </c>
      <c r="D20" s="110" t="s">
        <v>88</v>
      </c>
      <c r="E20" s="179">
        <v>9213.7200000000012</v>
      </c>
      <c r="F20" s="180">
        <v>858.66</v>
      </c>
      <c r="G20" s="181">
        <v>0</v>
      </c>
      <c r="H20" s="182">
        <v>686.93000000000006</v>
      </c>
      <c r="I20" s="168"/>
      <c r="J20" s="140"/>
      <c r="K20" s="222"/>
      <c r="L20" s="307"/>
      <c r="M20" s="307"/>
      <c r="N20" s="314"/>
      <c r="O20" s="314"/>
      <c r="P20" s="332"/>
      <c r="Q20" s="333"/>
      <c r="R20" s="141">
        <f t="shared" si="4"/>
        <v>9213.7200000000012</v>
      </c>
      <c r="S20" s="218">
        <f t="shared" si="0"/>
        <v>858.66</v>
      </c>
      <c r="T20" s="142">
        <f t="shared" si="1"/>
        <v>0</v>
      </c>
      <c r="U20" s="143">
        <f t="shared" si="2"/>
        <v>686.93000000000006</v>
      </c>
      <c r="V20" s="275">
        <v>4</v>
      </c>
      <c r="W20" s="233"/>
      <c r="X20" s="226">
        <v>43.4</v>
      </c>
      <c r="Y20" s="233"/>
      <c r="Z20" s="150"/>
      <c r="AA20" s="148">
        <f t="shared" si="5"/>
        <v>0</v>
      </c>
      <c r="AB20" s="149">
        <f t="shared" si="3"/>
        <v>0</v>
      </c>
      <c r="AC20" s="273">
        <f t="shared" si="6"/>
        <v>0</v>
      </c>
      <c r="AE20" s="272" t="str">
        <f t="shared" si="7"/>
        <v/>
      </c>
    </row>
    <row r="21" spans="1:31" ht="42.75" x14ac:dyDescent="0.25">
      <c r="A21" s="65">
        <v>327</v>
      </c>
      <c r="B21" s="96">
        <v>3114</v>
      </c>
      <c r="C21" s="253">
        <v>70837554</v>
      </c>
      <c r="D21" s="110" t="s">
        <v>13</v>
      </c>
      <c r="E21" s="179">
        <v>645.36</v>
      </c>
      <c r="F21" s="180">
        <v>0.44</v>
      </c>
      <c r="G21" s="181">
        <v>0</v>
      </c>
      <c r="H21" s="182">
        <v>0.4</v>
      </c>
      <c r="I21" s="168"/>
      <c r="J21" s="140"/>
      <c r="K21" s="222"/>
      <c r="L21" s="307"/>
      <c r="M21" s="307"/>
      <c r="N21" s="314"/>
      <c r="O21" s="314"/>
      <c r="P21" s="332"/>
      <c r="Q21" s="333"/>
      <c r="R21" s="141">
        <f t="shared" si="4"/>
        <v>645.36</v>
      </c>
      <c r="S21" s="218">
        <f t="shared" si="0"/>
        <v>0.44</v>
      </c>
      <c r="T21" s="142">
        <f t="shared" si="1"/>
        <v>0</v>
      </c>
      <c r="U21" s="143">
        <f t="shared" si="2"/>
        <v>0.4</v>
      </c>
      <c r="V21" s="275">
        <v>1</v>
      </c>
      <c r="W21" s="233"/>
      <c r="X21" s="226">
        <f>17+42</f>
        <v>59</v>
      </c>
      <c r="Y21" s="233">
        <v>42</v>
      </c>
      <c r="Z21" s="150"/>
      <c r="AA21" s="148">
        <f t="shared" si="5"/>
        <v>0</v>
      </c>
      <c r="AB21" s="149">
        <f t="shared" si="3"/>
        <v>0</v>
      </c>
      <c r="AC21" s="273">
        <f t="shared" si="6"/>
        <v>0</v>
      </c>
      <c r="AE21" s="272" t="str">
        <f t="shared" si="7"/>
        <v>A</v>
      </c>
    </row>
    <row r="22" spans="1:31" ht="28.5" x14ac:dyDescent="0.25">
      <c r="A22" s="65">
        <v>325</v>
      </c>
      <c r="B22" s="96">
        <v>3114</v>
      </c>
      <c r="C22" s="253">
        <v>70837538</v>
      </c>
      <c r="D22" s="110" t="s">
        <v>14</v>
      </c>
      <c r="E22" s="179">
        <v>1290.75</v>
      </c>
      <c r="F22" s="180">
        <v>5.33</v>
      </c>
      <c r="G22" s="181">
        <v>0</v>
      </c>
      <c r="H22" s="182">
        <v>4.3</v>
      </c>
      <c r="I22" s="168">
        <v>160</v>
      </c>
      <c r="J22" s="140"/>
      <c r="K22" s="222"/>
      <c r="L22" s="307"/>
      <c r="M22" s="307"/>
      <c r="N22" s="314"/>
      <c r="O22" s="314"/>
      <c r="P22" s="332"/>
      <c r="Q22" s="333"/>
      <c r="R22" s="141">
        <f t="shared" si="4"/>
        <v>1450.75</v>
      </c>
      <c r="S22" s="218">
        <f t="shared" si="0"/>
        <v>5.33</v>
      </c>
      <c r="T22" s="142">
        <f t="shared" si="1"/>
        <v>0</v>
      </c>
      <c r="U22" s="143">
        <f t="shared" si="2"/>
        <v>4.3</v>
      </c>
      <c r="V22" s="275">
        <v>1</v>
      </c>
      <c r="W22" s="233"/>
      <c r="X22" s="226"/>
      <c r="Y22" s="233"/>
      <c r="Z22" s="150"/>
      <c r="AA22" s="148">
        <f t="shared" si="5"/>
        <v>160</v>
      </c>
      <c r="AB22" s="149">
        <f t="shared" si="3"/>
        <v>0</v>
      </c>
      <c r="AC22" s="273">
        <f t="shared" si="6"/>
        <v>0</v>
      </c>
      <c r="AE22" s="272" t="str">
        <f t="shared" si="7"/>
        <v>A</v>
      </c>
    </row>
    <row r="23" spans="1:31" ht="38.25" customHeight="1" x14ac:dyDescent="0.25">
      <c r="A23" s="65">
        <v>455</v>
      </c>
      <c r="B23" s="96">
        <v>3146</v>
      </c>
      <c r="C23" s="253">
        <v>72049103</v>
      </c>
      <c r="D23" s="110" t="s">
        <v>85</v>
      </c>
      <c r="E23" s="179">
        <v>6238.44</v>
      </c>
      <c r="F23" s="180">
        <v>284.54000000000002</v>
      </c>
      <c r="G23" s="181">
        <v>0</v>
      </c>
      <c r="H23" s="182">
        <v>227.63</v>
      </c>
      <c r="I23" s="168"/>
      <c r="J23" s="140"/>
      <c r="K23" s="222"/>
      <c r="L23" s="307"/>
      <c r="M23" s="307"/>
      <c r="N23" s="314"/>
      <c r="O23" s="314"/>
      <c r="P23" s="332"/>
      <c r="Q23" s="333"/>
      <c r="R23" s="141">
        <f t="shared" si="4"/>
        <v>6238.44</v>
      </c>
      <c r="S23" s="218">
        <f t="shared" si="0"/>
        <v>284.54000000000002</v>
      </c>
      <c r="T23" s="142">
        <f t="shared" si="1"/>
        <v>0</v>
      </c>
      <c r="U23" s="143">
        <f t="shared" si="2"/>
        <v>227.63</v>
      </c>
      <c r="V23" s="275">
        <v>5</v>
      </c>
      <c r="W23" s="233"/>
      <c r="X23" s="226"/>
      <c r="Y23" s="233"/>
      <c r="Z23" s="150"/>
      <c r="AA23" s="148">
        <f t="shared" si="5"/>
        <v>0</v>
      </c>
      <c r="AB23" s="149">
        <f t="shared" si="3"/>
        <v>0</v>
      </c>
      <c r="AC23" s="273">
        <f t="shared" si="6"/>
        <v>0</v>
      </c>
      <c r="AE23" s="272" t="str">
        <f t="shared" si="7"/>
        <v/>
      </c>
    </row>
    <row r="24" spans="1:31" ht="25.5" customHeight="1" x14ac:dyDescent="0.25">
      <c r="A24" s="65">
        <v>322</v>
      </c>
      <c r="B24" s="96">
        <v>3133</v>
      </c>
      <c r="C24" s="253">
        <v>62690540</v>
      </c>
      <c r="D24" s="112" t="s">
        <v>15</v>
      </c>
      <c r="E24" s="179">
        <v>3937.21</v>
      </c>
      <c r="F24" s="180">
        <v>240.25</v>
      </c>
      <c r="G24" s="181">
        <v>0</v>
      </c>
      <c r="H24" s="182">
        <v>192.17</v>
      </c>
      <c r="I24" s="168"/>
      <c r="J24" s="140"/>
      <c r="K24" s="222"/>
      <c r="L24" s="307"/>
      <c r="M24" s="307"/>
      <c r="N24" s="314"/>
      <c r="O24" s="314"/>
      <c r="P24" s="332"/>
      <c r="Q24" s="333"/>
      <c r="R24" s="141">
        <f t="shared" si="4"/>
        <v>3937.21</v>
      </c>
      <c r="S24" s="218">
        <f t="shared" si="0"/>
        <v>240.25</v>
      </c>
      <c r="T24" s="142">
        <f t="shared" si="1"/>
        <v>0</v>
      </c>
      <c r="U24" s="143">
        <f t="shared" si="2"/>
        <v>192.17</v>
      </c>
      <c r="V24" s="275">
        <v>3</v>
      </c>
      <c r="W24" s="233"/>
      <c r="X24" s="226">
        <v>10</v>
      </c>
      <c r="Y24" s="233"/>
      <c r="Z24" s="150"/>
      <c r="AA24" s="148">
        <f t="shared" si="5"/>
        <v>0</v>
      </c>
      <c r="AB24" s="149">
        <f t="shared" si="3"/>
        <v>0</v>
      </c>
      <c r="AC24" s="273">
        <f t="shared" si="6"/>
        <v>0</v>
      </c>
      <c r="AE24" s="272" t="str">
        <f t="shared" si="7"/>
        <v/>
      </c>
    </row>
    <row r="25" spans="1:31" ht="28.5" x14ac:dyDescent="0.25">
      <c r="A25" s="65">
        <v>332</v>
      </c>
      <c r="B25" s="96">
        <v>3147</v>
      </c>
      <c r="C25" s="253">
        <v>528315</v>
      </c>
      <c r="D25" s="113" t="s">
        <v>16</v>
      </c>
      <c r="E25" s="179">
        <v>4574.5399999999991</v>
      </c>
      <c r="F25" s="180">
        <v>1448.3400000000001</v>
      </c>
      <c r="G25" s="181">
        <v>0</v>
      </c>
      <c r="H25" s="182">
        <v>1165.6300000000001</v>
      </c>
      <c r="I25" s="168"/>
      <c r="J25" s="140"/>
      <c r="K25" s="222"/>
      <c r="L25" s="307"/>
      <c r="M25" s="307"/>
      <c r="N25" s="314"/>
      <c r="O25" s="314"/>
      <c r="P25" s="314"/>
      <c r="Q25" s="333"/>
      <c r="R25" s="141">
        <f t="shared" si="4"/>
        <v>4574.5399999999991</v>
      </c>
      <c r="S25" s="218">
        <f t="shared" si="0"/>
        <v>1448.3400000000001</v>
      </c>
      <c r="T25" s="142">
        <f t="shared" si="1"/>
        <v>0</v>
      </c>
      <c r="U25" s="143">
        <f t="shared" si="2"/>
        <v>1165.6300000000001</v>
      </c>
      <c r="V25" s="275">
        <v>3</v>
      </c>
      <c r="W25" s="233"/>
      <c r="X25" s="226">
        <v>13.55</v>
      </c>
      <c r="Y25" s="233"/>
      <c r="Z25" s="150"/>
      <c r="AA25" s="148">
        <f t="shared" si="5"/>
        <v>0</v>
      </c>
      <c r="AB25" s="149">
        <f t="shared" si="3"/>
        <v>0</v>
      </c>
      <c r="AC25" s="273">
        <f t="shared" si="6"/>
        <v>0</v>
      </c>
      <c r="AE25" s="272" t="str">
        <f t="shared" si="7"/>
        <v/>
      </c>
    </row>
    <row r="26" spans="1:31" ht="28.5" x14ac:dyDescent="0.25">
      <c r="A26" s="65">
        <v>335</v>
      </c>
      <c r="B26" s="97">
        <v>3141</v>
      </c>
      <c r="C26" s="253">
        <v>49335499</v>
      </c>
      <c r="D26" s="112" t="s">
        <v>17</v>
      </c>
      <c r="E26" s="179">
        <v>2877.4</v>
      </c>
      <c r="F26" s="180">
        <v>969.91</v>
      </c>
      <c r="G26" s="181">
        <v>0</v>
      </c>
      <c r="H26" s="182">
        <v>793.5</v>
      </c>
      <c r="I26" s="168"/>
      <c r="J26" s="140"/>
      <c r="K26" s="222"/>
      <c r="L26" s="307"/>
      <c r="M26" s="307"/>
      <c r="N26" s="314"/>
      <c r="O26" s="314"/>
      <c r="P26" s="332"/>
      <c r="Q26" s="333"/>
      <c r="R26" s="141">
        <f t="shared" si="4"/>
        <v>2877.4</v>
      </c>
      <c r="S26" s="218">
        <f t="shared" si="0"/>
        <v>969.91</v>
      </c>
      <c r="T26" s="142">
        <f t="shared" si="1"/>
        <v>0</v>
      </c>
      <c r="U26" s="143">
        <f t="shared" si="2"/>
        <v>793.5</v>
      </c>
      <c r="V26" s="275">
        <v>1</v>
      </c>
      <c r="W26" s="233"/>
      <c r="X26" s="226"/>
      <c r="Y26" s="233"/>
      <c r="Z26" s="150"/>
      <c r="AA26" s="148">
        <f t="shared" si="5"/>
        <v>0</v>
      </c>
      <c r="AB26" s="149">
        <f t="shared" si="3"/>
        <v>0</v>
      </c>
      <c r="AC26" s="273">
        <f t="shared" si="6"/>
        <v>0</v>
      </c>
      <c r="AE26" s="272" t="str">
        <f t="shared" si="7"/>
        <v/>
      </c>
    </row>
    <row r="27" spans="1:31" ht="57.75" thickBot="1" x14ac:dyDescent="0.3">
      <c r="A27" s="98">
        <v>352</v>
      </c>
      <c r="B27" s="99">
        <v>3294</v>
      </c>
      <c r="C27" s="254">
        <v>62731882</v>
      </c>
      <c r="D27" s="114" t="s">
        <v>111</v>
      </c>
      <c r="E27" s="183">
        <v>4157.25</v>
      </c>
      <c r="F27" s="180">
        <v>0</v>
      </c>
      <c r="G27" s="181">
        <v>0</v>
      </c>
      <c r="H27" s="182">
        <v>0</v>
      </c>
      <c r="I27" s="302"/>
      <c r="J27" s="158"/>
      <c r="K27" s="297"/>
      <c r="L27" s="335"/>
      <c r="M27" s="335"/>
      <c r="N27" s="336">
        <v>3.61</v>
      </c>
      <c r="O27" s="336"/>
      <c r="P27" s="337"/>
      <c r="Q27" s="338">
        <v>3.61</v>
      </c>
      <c r="R27" s="154">
        <f t="shared" si="4"/>
        <v>4160.8599999999997</v>
      </c>
      <c r="S27" s="218">
        <f t="shared" si="0"/>
        <v>3.61</v>
      </c>
      <c r="T27" s="142">
        <f t="shared" si="1"/>
        <v>0</v>
      </c>
      <c r="U27" s="156">
        <f t="shared" si="2"/>
        <v>3.61</v>
      </c>
      <c r="V27" s="275">
        <v>5</v>
      </c>
      <c r="W27" s="233"/>
      <c r="X27" s="226"/>
      <c r="Y27" s="235"/>
      <c r="Z27" s="150"/>
      <c r="AA27" s="322">
        <f t="shared" si="5"/>
        <v>3.61</v>
      </c>
      <c r="AB27" s="323">
        <f t="shared" si="3"/>
        <v>0</v>
      </c>
      <c r="AC27" s="324">
        <f t="shared" si="6"/>
        <v>3.61</v>
      </c>
      <c r="AE27" s="272" t="str">
        <f t="shared" si="7"/>
        <v>A</v>
      </c>
    </row>
    <row r="28" spans="1:31" ht="28.5" x14ac:dyDescent="0.25">
      <c r="A28" s="64">
        <v>390</v>
      </c>
      <c r="B28" s="67">
        <v>3121</v>
      </c>
      <c r="C28" s="255">
        <v>60116781</v>
      </c>
      <c r="D28" s="115" t="s">
        <v>18</v>
      </c>
      <c r="E28" s="184">
        <v>3486.2</v>
      </c>
      <c r="F28" s="185">
        <v>274.77999999999997</v>
      </c>
      <c r="G28" s="186">
        <v>0</v>
      </c>
      <c r="H28" s="187">
        <v>219.8</v>
      </c>
      <c r="I28" s="168"/>
      <c r="J28" s="140"/>
      <c r="K28" s="296"/>
      <c r="L28" s="307"/>
      <c r="M28" s="140">
        <v>10</v>
      </c>
      <c r="N28" s="314">
        <v>30.2</v>
      </c>
      <c r="O28" s="314"/>
      <c r="P28" s="332"/>
      <c r="Q28" s="333">
        <v>30.2</v>
      </c>
      <c r="R28" s="145">
        <f t="shared" si="4"/>
        <v>3526.3999999999996</v>
      </c>
      <c r="S28" s="219">
        <f t="shared" si="0"/>
        <v>304.97999999999996</v>
      </c>
      <c r="T28" s="147">
        <f t="shared" si="1"/>
        <v>0</v>
      </c>
      <c r="U28" s="152">
        <f t="shared" si="2"/>
        <v>250</v>
      </c>
      <c r="V28" s="276">
        <v>3</v>
      </c>
      <c r="W28" s="237"/>
      <c r="X28" s="227"/>
      <c r="Y28" s="237"/>
      <c r="Z28" s="150"/>
      <c r="AA28" s="145">
        <f t="shared" si="5"/>
        <v>40.200000000000003</v>
      </c>
      <c r="AB28" s="146">
        <f t="shared" si="3"/>
        <v>0</v>
      </c>
      <c r="AC28" s="147">
        <f t="shared" si="6"/>
        <v>30.2</v>
      </c>
      <c r="AE28" s="272" t="str">
        <f t="shared" si="7"/>
        <v>A</v>
      </c>
    </row>
    <row r="29" spans="1:31" ht="42.75" x14ac:dyDescent="0.25">
      <c r="A29" s="128">
        <v>456</v>
      </c>
      <c r="B29" s="128">
        <v>3127</v>
      </c>
      <c r="C29" s="256" t="s">
        <v>120</v>
      </c>
      <c r="D29" s="116" t="s">
        <v>98</v>
      </c>
      <c r="E29" s="188">
        <v>15799.679999999998</v>
      </c>
      <c r="F29" s="189">
        <v>3176.11</v>
      </c>
      <c r="G29" s="190">
        <v>185</v>
      </c>
      <c r="H29" s="191">
        <v>2638.1699999999996</v>
      </c>
      <c r="I29" s="339"/>
      <c r="J29" s="140"/>
      <c r="K29" s="295">
        <v>7.4</v>
      </c>
      <c r="L29" s="307">
        <v>51.3</v>
      </c>
      <c r="M29" s="140"/>
      <c r="N29" s="314"/>
      <c r="O29" s="334"/>
      <c r="P29" s="332"/>
      <c r="Q29" s="333"/>
      <c r="R29" s="141">
        <f t="shared" si="4"/>
        <v>15858.379999999997</v>
      </c>
      <c r="S29" s="218">
        <f t="shared" si="0"/>
        <v>3176.11</v>
      </c>
      <c r="T29" s="142">
        <f t="shared" si="1"/>
        <v>185</v>
      </c>
      <c r="U29" s="143">
        <f t="shared" si="2"/>
        <v>2638.1699999999996</v>
      </c>
      <c r="V29" s="275">
        <v>7</v>
      </c>
      <c r="W29" s="233"/>
      <c r="X29" s="226">
        <f>86.9+5.4</f>
        <v>92.300000000000011</v>
      </c>
      <c r="Y29" s="233">
        <v>5.4</v>
      </c>
      <c r="Z29" s="150"/>
      <c r="AA29" s="148">
        <f t="shared" si="5"/>
        <v>58.699999999999996</v>
      </c>
      <c r="AB29" s="149">
        <f t="shared" si="3"/>
        <v>0</v>
      </c>
      <c r="AC29" s="273">
        <f t="shared" si="6"/>
        <v>0</v>
      </c>
      <c r="AE29" s="272" t="str">
        <f t="shared" si="7"/>
        <v>A</v>
      </c>
    </row>
    <row r="30" spans="1:31" ht="42.75" x14ac:dyDescent="0.25">
      <c r="A30" s="129">
        <v>392</v>
      </c>
      <c r="B30" s="130">
        <v>3127</v>
      </c>
      <c r="C30" s="257">
        <v>60117001</v>
      </c>
      <c r="D30" s="112" t="s">
        <v>19</v>
      </c>
      <c r="E30" s="188">
        <v>4124.8999999999996</v>
      </c>
      <c r="F30" s="189">
        <v>1259.3899999999999</v>
      </c>
      <c r="G30" s="190">
        <v>9186.2999999999993</v>
      </c>
      <c r="H30" s="191">
        <v>1080.08</v>
      </c>
      <c r="I30" s="339"/>
      <c r="J30" s="140"/>
      <c r="K30" s="222"/>
      <c r="L30" s="307"/>
      <c r="M30" s="140">
        <v>10</v>
      </c>
      <c r="N30" s="314"/>
      <c r="O30" s="334"/>
      <c r="P30" s="332"/>
      <c r="Q30" s="333"/>
      <c r="R30" s="141">
        <f t="shared" si="4"/>
        <v>4134.8999999999996</v>
      </c>
      <c r="S30" s="218">
        <f t="shared" si="0"/>
        <v>1259.3899999999999</v>
      </c>
      <c r="T30" s="142">
        <f t="shared" si="1"/>
        <v>9186.2999999999993</v>
      </c>
      <c r="U30" s="143">
        <f t="shared" si="2"/>
        <v>1080.08</v>
      </c>
      <c r="V30" s="275">
        <v>3</v>
      </c>
      <c r="W30" s="233"/>
      <c r="X30" s="226"/>
      <c r="Y30" s="233"/>
      <c r="Z30" s="150"/>
      <c r="AA30" s="148">
        <f t="shared" si="5"/>
        <v>10</v>
      </c>
      <c r="AB30" s="149">
        <f t="shared" si="3"/>
        <v>0</v>
      </c>
      <c r="AC30" s="273">
        <f t="shared" si="6"/>
        <v>0</v>
      </c>
      <c r="AE30" s="272" t="str">
        <f t="shared" si="7"/>
        <v>A</v>
      </c>
    </row>
    <row r="31" spans="1:31" ht="28.5" x14ac:dyDescent="0.25">
      <c r="A31" s="129">
        <v>393</v>
      </c>
      <c r="B31" s="130">
        <v>3122</v>
      </c>
      <c r="C31" s="257">
        <v>60116935</v>
      </c>
      <c r="D31" s="116" t="s">
        <v>20</v>
      </c>
      <c r="E31" s="188">
        <v>2476.94</v>
      </c>
      <c r="F31" s="189">
        <v>427.3</v>
      </c>
      <c r="G31" s="190">
        <v>0</v>
      </c>
      <c r="H31" s="191">
        <v>341.83</v>
      </c>
      <c r="I31" s="339"/>
      <c r="J31" s="140"/>
      <c r="K31" s="222"/>
      <c r="L31" s="307"/>
      <c r="M31" s="140">
        <v>10</v>
      </c>
      <c r="N31" s="314"/>
      <c r="O31" s="334"/>
      <c r="P31" s="332"/>
      <c r="Q31" s="333"/>
      <c r="R31" s="141">
        <f t="shared" si="4"/>
        <v>2486.94</v>
      </c>
      <c r="S31" s="218">
        <f t="shared" si="0"/>
        <v>427.3</v>
      </c>
      <c r="T31" s="213">
        <f t="shared" si="1"/>
        <v>0</v>
      </c>
      <c r="U31" s="143">
        <f t="shared" si="2"/>
        <v>341.83</v>
      </c>
      <c r="V31" s="275">
        <v>3</v>
      </c>
      <c r="W31" s="233"/>
      <c r="X31" s="226">
        <v>3</v>
      </c>
      <c r="Y31" s="233"/>
      <c r="Z31" s="150"/>
      <c r="AA31" s="148">
        <f t="shared" si="5"/>
        <v>10</v>
      </c>
      <c r="AB31" s="149">
        <f t="shared" si="3"/>
        <v>0</v>
      </c>
      <c r="AC31" s="273">
        <f t="shared" si="6"/>
        <v>0</v>
      </c>
      <c r="AE31" s="272" t="str">
        <f t="shared" si="7"/>
        <v>A</v>
      </c>
    </row>
    <row r="32" spans="1:31" ht="42.75" x14ac:dyDescent="0.25">
      <c r="A32" s="129">
        <v>395</v>
      </c>
      <c r="B32" s="130">
        <v>3122</v>
      </c>
      <c r="C32" s="257">
        <v>60116871</v>
      </c>
      <c r="D32" s="116" t="s">
        <v>112</v>
      </c>
      <c r="E32" s="188">
        <v>4910.6000000000004</v>
      </c>
      <c r="F32" s="189">
        <v>535.69000000000005</v>
      </c>
      <c r="G32" s="190">
        <v>6643.79</v>
      </c>
      <c r="H32" s="191">
        <v>439.14</v>
      </c>
      <c r="I32" s="339">
        <v>21</v>
      </c>
      <c r="J32" s="140"/>
      <c r="K32" s="222">
        <v>86</v>
      </c>
      <c r="L32" s="307"/>
      <c r="M32" s="307"/>
      <c r="N32" s="314">
        <v>7.98</v>
      </c>
      <c r="O32" s="314"/>
      <c r="P32" s="332"/>
      <c r="Q32" s="333">
        <v>7.98</v>
      </c>
      <c r="R32" s="141">
        <f t="shared" si="4"/>
        <v>5025.58</v>
      </c>
      <c r="S32" s="218">
        <f t="shared" si="0"/>
        <v>543.67000000000007</v>
      </c>
      <c r="T32" s="142">
        <f t="shared" si="1"/>
        <v>6643.79</v>
      </c>
      <c r="U32" s="143">
        <f t="shared" si="2"/>
        <v>447.12</v>
      </c>
      <c r="V32" s="275">
        <v>4</v>
      </c>
      <c r="W32" s="233"/>
      <c r="X32" s="226">
        <f>128.9+63.3</f>
        <v>192.2</v>
      </c>
      <c r="Y32" s="233">
        <v>63.3</v>
      </c>
      <c r="Z32" s="150"/>
      <c r="AA32" s="148">
        <f t="shared" si="5"/>
        <v>114.98</v>
      </c>
      <c r="AB32" s="149">
        <f t="shared" si="3"/>
        <v>0</v>
      </c>
      <c r="AC32" s="273">
        <f t="shared" si="6"/>
        <v>7.98</v>
      </c>
      <c r="AE32" s="272" t="str">
        <f t="shared" si="7"/>
        <v>A</v>
      </c>
    </row>
    <row r="33" spans="1:31" ht="28.5" x14ac:dyDescent="0.25">
      <c r="A33" s="129">
        <v>397</v>
      </c>
      <c r="B33" s="130">
        <v>3127</v>
      </c>
      <c r="C33" s="257">
        <v>64812201</v>
      </c>
      <c r="D33" s="116" t="s">
        <v>21</v>
      </c>
      <c r="E33" s="188">
        <v>5916.2199999999993</v>
      </c>
      <c r="F33" s="189">
        <v>970.53000000000009</v>
      </c>
      <c r="G33" s="190">
        <v>91.1</v>
      </c>
      <c r="H33" s="191">
        <v>776.44999999999993</v>
      </c>
      <c r="I33" s="339">
        <v>32</v>
      </c>
      <c r="J33" s="140"/>
      <c r="K33" s="222"/>
      <c r="L33" s="307">
        <v>22.5</v>
      </c>
      <c r="M33" s="307"/>
      <c r="N33" s="314"/>
      <c r="O33" s="334"/>
      <c r="P33" s="332"/>
      <c r="Q33" s="333"/>
      <c r="R33" s="141">
        <f t="shared" si="4"/>
        <v>5970.7199999999993</v>
      </c>
      <c r="S33" s="218">
        <f t="shared" si="0"/>
        <v>970.53000000000009</v>
      </c>
      <c r="T33" s="142">
        <f t="shared" si="1"/>
        <v>91.1</v>
      </c>
      <c r="U33" s="143">
        <f t="shared" si="2"/>
        <v>776.44999999999993</v>
      </c>
      <c r="V33" s="275">
        <v>3</v>
      </c>
      <c r="W33" s="233"/>
      <c r="X33" s="226">
        <v>41</v>
      </c>
      <c r="Y33" s="233"/>
      <c r="Z33" s="150"/>
      <c r="AA33" s="148">
        <f t="shared" si="5"/>
        <v>54.5</v>
      </c>
      <c r="AB33" s="149">
        <f t="shared" si="3"/>
        <v>0</v>
      </c>
      <c r="AC33" s="273">
        <f t="shared" si="6"/>
        <v>0</v>
      </c>
      <c r="AE33" s="272" t="str">
        <f t="shared" si="7"/>
        <v>A</v>
      </c>
    </row>
    <row r="34" spans="1:31" ht="26.45" customHeight="1" x14ac:dyDescent="0.25">
      <c r="A34" s="128">
        <v>457</v>
      </c>
      <c r="B34" s="128">
        <v>3127</v>
      </c>
      <c r="C34" s="256" t="s">
        <v>121</v>
      </c>
      <c r="D34" s="116" t="s">
        <v>91</v>
      </c>
      <c r="E34" s="188">
        <v>6761.9100000000008</v>
      </c>
      <c r="F34" s="189">
        <v>423.08</v>
      </c>
      <c r="G34" s="190">
        <v>0</v>
      </c>
      <c r="H34" s="191">
        <v>351.21000000000004</v>
      </c>
      <c r="I34" s="339"/>
      <c r="J34" s="140"/>
      <c r="K34" s="222">
        <v>464.7</v>
      </c>
      <c r="L34" s="307">
        <v>154.6</v>
      </c>
      <c r="M34" s="307"/>
      <c r="N34" s="314"/>
      <c r="O34" s="334"/>
      <c r="P34" s="332"/>
      <c r="Q34" s="333"/>
      <c r="R34" s="141">
        <f t="shared" si="4"/>
        <v>7381.2100000000009</v>
      </c>
      <c r="S34" s="218">
        <f t="shared" si="0"/>
        <v>423.08</v>
      </c>
      <c r="T34" s="142">
        <f t="shared" si="1"/>
        <v>0</v>
      </c>
      <c r="U34" s="143">
        <f t="shared" si="2"/>
        <v>351.21000000000004</v>
      </c>
      <c r="V34" s="275">
        <v>5</v>
      </c>
      <c r="W34" s="233"/>
      <c r="X34" s="226">
        <f>744.2+342.2</f>
        <v>1086.4000000000001</v>
      </c>
      <c r="Y34" s="233">
        <v>342.2</v>
      </c>
      <c r="Z34" s="150"/>
      <c r="AA34" s="148">
        <f t="shared" si="5"/>
        <v>619.29999999999995</v>
      </c>
      <c r="AB34" s="149">
        <f t="shared" si="3"/>
        <v>0</v>
      </c>
      <c r="AC34" s="273">
        <f t="shared" si="6"/>
        <v>0</v>
      </c>
      <c r="AE34" s="272" t="str">
        <f t="shared" si="7"/>
        <v>A</v>
      </c>
    </row>
    <row r="35" spans="1:31" ht="28.5" x14ac:dyDescent="0.25">
      <c r="A35" s="65">
        <v>400</v>
      </c>
      <c r="B35" s="96">
        <v>3127</v>
      </c>
      <c r="C35" s="253">
        <v>15055256</v>
      </c>
      <c r="D35" s="116" t="s">
        <v>22</v>
      </c>
      <c r="E35" s="188">
        <v>4739.2300000000005</v>
      </c>
      <c r="F35" s="189">
        <v>715.47</v>
      </c>
      <c r="G35" s="190">
        <v>0</v>
      </c>
      <c r="H35" s="191">
        <v>581.02</v>
      </c>
      <c r="I35" s="339"/>
      <c r="J35" s="140"/>
      <c r="K35" s="222"/>
      <c r="L35" s="307">
        <v>-3.8</v>
      </c>
      <c r="M35" s="307"/>
      <c r="N35" s="314"/>
      <c r="O35" s="334"/>
      <c r="P35" s="332"/>
      <c r="Q35" s="333"/>
      <c r="R35" s="141">
        <f t="shared" si="4"/>
        <v>4735.43</v>
      </c>
      <c r="S35" s="218">
        <f t="shared" si="0"/>
        <v>715.47</v>
      </c>
      <c r="T35" s="142">
        <f t="shared" si="1"/>
        <v>0</v>
      </c>
      <c r="U35" s="143">
        <f t="shared" si="2"/>
        <v>581.02</v>
      </c>
      <c r="V35" s="275">
        <v>3</v>
      </c>
      <c r="W35" s="233"/>
      <c r="X35" s="226">
        <v>14</v>
      </c>
      <c r="Y35" s="233"/>
      <c r="Z35" s="150"/>
      <c r="AA35" s="148">
        <f t="shared" si="5"/>
        <v>-3.8</v>
      </c>
      <c r="AB35" s="149">
        <f t="shared" si="3"/>
        <v>0</v>
      </c>
      <c r="AC35" s="273">
        <f t="shared" si="6"/>
        <v>0</v>
      </c>
      <c r="AE35" s="272" t="str">
        <f t="shared" si="7"/>
        <v>A</v>
      </c>
    </row>
    <row r="36" spans="1:31" ht="42.75" x14ac:dyDescent="0.25">
      <c r="A36" s="65">
        <v>394</v>
      </c>
      <c r="B36" s="96">
        <v>3127</v>
      </c>
      <c r="C36" s="253">
        <v>60116820</v>
      </c>
      <c r="D36" s="112" t="s">
        <v>23</v>
      </c>
      <c r="E36" s="188">
        <v>7390.8499999999995</v>
      </c>
      <c r="F36" s="189">
        <v>1092.1399999999999</v>
      </c>
      <c r="G36" s="190">
        <v>0</v>
      </c>
      <c r="H36" s="191">
        <v>873.69</v>
      </c>
      <c r="I36" s="339"/>
      <c r="J36" s="140"/>
      <c r="K36" s="222">
        <v>551.5</v>
      </c>
      <c r="L36" s="307">
        <v>26.3</v>
      </c>
      <c r="M36" s="307"/>
      <c r="N36" s="314"/>
      <c r="O36" s="334"/>
      <c r="P36" s="332"/>
      <c r="Q36" s="333"/>
      <c r="R36" s="141">
        <f t="shared" si="4"/>
        <v>7968.65</v>
      </c>
      <c r="S36" s="218">
        <f t="shared" si="0"/>
        <v>1092.1399999999999</v>
      </c>
      <c r="T36" s="142">
        <f t="shared" si="1"/>
        <v>0</v>
      </c>
      <c r="U36" s="143">
        <f t="shared" si="2"/>
        <v>873.69</v>
      </c>
      <c r="V36" s="275">
        <v>4</v>
      </c>
      <c r="W36" s="233"/>
      <c r="X36" s="226">
        <f>849.6+406.1</f>
        <v>1255.7</v>
      </c>
      <c r="Y36" s="233">
        <v>406.1</v>
      </c>
      <c r="Z36" s="150"/>
      <c r="AA36" s="148">
        <f t="shared" si="5"/>
        <v>577.79999999999995</v>
      </c>
      <c r="AB36" s="149">
        <f t="shared" si="3"/>
        <v>0</v>
      </c>
      <c r="AC36" s="273">
        <f t="shared" si="6"/>
        <v>0</v>
      </c>
      <c r="AE36" s="272" t="str">
        <f t="shared" si="7"/>
        <v>A</v>
      </c>
    </row>
    <row r="37" spans="1:31" ht="28.5" x14ac:dyDescent="0.25">
      <c r="A37" s="65">
        <v>401</v>
      </c>
      <c r="B37" s="96">
        <v>3124</v>
      </c>
      <c r="C37" s="253">
        <v>87998</v>
      </c>
      <c r="D37" s="112" t="s">
        <v>89</v>
      </c>
      <c r="E37" s="188">
        <v>3582.7999999999997</v>
      </c>
      <c r="F37" s="189">
        <v>165.47</v>
      </c>
      <c r="G37" s="190">
        <v>0</v>
      </c>
      <c r="H37" s="191">
        <v>132.4</v>
      </c>
      <c r="I37" s="339"/>
      <c r="J37" s="140"/>
      <c r="K37" s="222"/>
      <c r="L37" s="307">
        <v>70.8</v>
      </c>
      <c r="M37" s="307"/>
      <c r="N37" s="314"/>
      <c r="O37" s="334"/>
      <c r="P37" s="332"/>
      <c r="Q37" s="333"/>
      <c r="R37" s="141">
        <f t="shared" si="4"/>
        <v>3653.6</v>
      </c>
      <c r="S37" s="218">
        <f t="shared" si="0"/>
        <v>165.47</v>
      </c>
      <c r="T37" s="142">
        <f t="shared" si="1"/>
        <v>0</v>
      </c>
      <c r="U37" s="143">
        <f t="shared" si="2"/>
        <v>132.4</v>
      </c>
      <c r="V37" s="275">
        <v>3</v>
      </c>
      <c r="W37" s="233"/>
      <c r="X37" s="226"/>
      <c r="Y37" s="233"/>
      <c r="Z37" s="150"/>
      <c r="AA37" s="148">
        <f t="shared" si="5"/>
        <v>70.8</v>
      </c>
      <c r="AB37" s="149">
        <f t="shared" si="3"/>
        <v>0</v>
      </c>
      <c r="AC37" s="273">
        <f t="shared" si="6"/>
        <v>0</v>
      </c>
      <c r="AE37" s="272" t="str">
        <f t="shared" si="7"/>
        <v>A</v>
      </c>
    </row>
    <row r="38" spans="1:31" ht="15.75" thickBot="1" x14ac:dyDescent="0.3">
      <c r="A38" s="100">
        <v>452</v>
      </c>
      <c r="B38" s="101">
        <v>3114</v>
      </c>
      <c r="C38" s="258">
        <v>71197281</v>
      </c>
      <c r="D38" s="117" t="s">
        <v>99</v>
      </c>
      <c r="E38" s="188">
        <v>2046.5900000000001</v>
      </c>
      <c r="F38" s="189">
        <v>17.78</v>
      </c>
      <c r="G38" s="190">
        <v>0</v>
      </c>
      <c r="H38" s="191">
        <v>14.2</v>
      </c>
      <c r="I38" s="340"/>
      <c r="J38" s="153"/>
      <c r="K38" s="296"/>
      <c r="L38" s="341"/>
      <c r="M38" s="341"/>
      <c r="N38" s="342"/>
      <c r="O38" s="342"/>
      <c r="P38" s="343"/>
      <c r="Q38" s="344"/>
      <c r="R38" s="154">
        <f t="shared" si="4"/>
        <v>2046.5900000000001</v>
      </c>
      <c r="S38" s="218">
        <f t="shared" ref="S38:S69" si="8">F38+N38</f>
        <v>17.78</v>
      </c>
      <c r="T38" s="142">
        <f t="shared" ref="T38:T69" si="9">G38+O38</f>
        <v>0</v>
      </c>
      <c r="U38" s="156">
        <f t="shared" ref="U38:U69" si="10">H38+Q38</f>
        <v>14.2</v>
      </c>
      <c r="V38" s="275">
        <v>1</v>
      </c>
      <c r="W38" s="233"/>
      <c r="X38" s="226">
        <v>7</v>
      </c>
      <c r="Y38" s="234"/>
      <c r="Z38" s="150"/>
      <c r="AA38" s="159">
        <f t="shared" si="5"/>
        <v>0</v>
      </c>
      <c r="AB38" s="161">
        <f t="shared" ref="AB38:AB69" si="11">+O38</f>
        <v>0</v>
      </c>
      <c r="AC38" s="160">
        <f t="shared" si="6"/>
        <v>0</v>
      </c>
      <c r="AE38" s="272" t="str">
        <f t="shared" si="7"/>
        <v/>
      </c>
    </row>
    <row r="39" spans="1:31" x14ac:dyDescent="0.25">
      <c r="A39" s="94">
        <v>338</v>
      </c>
      <c r="B39" s="95">
        <v>3121</v>
      </c>
      <c r="C39" s="259">
        <v>48623679</v>
      </c>
      <c r="D39" s="118" t="s">
        <v>24</v>
      </c>
      <c r="E39" s="192">
        <v>3032.34</v>
      </c>
      <c r="F39" s="193">
        <v>114.57</v>
      </c>
      <c r="G39" s="194">
        <v>0</v>
      </c>
      <c r="H39" s="195">
        <v>91.7</v>
      </c>
      <c r="I39" s="345"/>
      <c r="J39" s="151"/>
      <c r="K39" s="223"/>
      <c r="L39" s="346"/>
      <c r="M39" s="346"/>
      <c r="N39" s="317"/>
      <c r="O39" s="317"/>
      <c r="P39" s="347"/>
      <c r="Q39" s="348"/>
      <c r="R39" s="145">
        <f t="shared" si="4"/>
        <v>3032.34</v>
      </c>
      <c r="S39" s="219">
        <f t="shared" si="8"/>
        <v>114.57</v>
      </c>
      <c r="T39" s="147">
        <f t="shared" si="9"/>
        <v>0</v>
      </c>
      <c r="U39" s="152">
        <f t="shared" si="10"/>
        <v>91.7</v>
      </c>
      <c r="V39" s="276">
        <v>3</v>
      </c>
      <c r="W39" s="237"/>
      <c r="X39" s="227">
        <f>20+20+4</f>
        <v>44</v>
      </c>
      <c r="Y39" s="236"/>
      <c r="Z39" s="150"/>
      <c r="AA39" s="141">
        <f t="shared" si="5"/>
        <v>0</v>
      </c>
      <c r="AB39" s="325">
        <f t="shared" si="11"/>
        <v>0</v>
      </c>
      <c r="AC39" s="142">
        <f t="shared" si="6"/>
        <v>0</v>
      </c>
      <c r="AE39" s="272" t="str">
        <f t="shared" si="7"/>
        <v/>
      </c>
    </row>
    <row r="40" spans="1:31" ht="28.5" x14ac:dyDescent="0.25">
      <c r="A40" s="65">
        <v>339</v>
      </c>
      <c r="B40" s="96">
        <v>3121</v>
      </c>
      <c r="C40" s="253">
        <v>48623695</v>
      </c>
      <c r="D40" s="116" t="s">
        <v>66</v>
      </c>
      <c r="E40" s="179">
        <v>3293.67</v>
      </c>
      <c r="F40" s="196">
        <v>217.41</v>
      </c>
      <c r="G40" s="197">
        <v>0</v>
      </c>
      <c r="H40" s="198">
        <v>173.9</v>
      </c>
      <c r="I40" s="320"/>
      <c r="J40" s="222"/>
      <c r="K40" s="222"/>
      <c r="L40" s="307"/>
      <c r="M40" s="307"/>
      <c r="N40" s="314"/>
      <c r="O40" s="314">
        <v>0</v>
      </c>
      <c r="P40" s="332"/>
      <c r="Q40" s="333"/>
      <c r="R40" s="141">
        <f t="shared" si="4"/>
        <v>3293.67</v>
      </c>
      <c r="S40" s="218">
        <f t="shared" si="8"/>
        <v>217.41</v>
      </c>
      <c r="T40" s="142">
        <f t="shared" si="9"/>
        <v>0</v>
      </c>
      <c r="U40" s="143">
        <f t="shared" si="10"/>
        <v>173.9</v>
      </c>
      <c r="V40" s="275">
        <v>3</v>
      </c>
      <c r="W40" s="233"/>
      <c r="X40" s="226">
        <f>6.3+4.36</f>
        <v>10.66</v>
      </c>
      <c r="Y40" s="233"/>
      <c r="Z40" s="150"/>
      <c r="AA40" s="148">
        <f t="shared" si="5"/>
        <v>0</v>
      </c>
      <c r="AB40" s="149">
        <f t="shared" si="11"/>
        <v>0</v>
      </c>
      <c r="AC40" s="273">
        <f t="shared" si="6"/>
        <v>0</v>
      </c>
      <c r="AE40" s="272" t="str">
        <f t="shared" si="7"/>
        <v/>
      </c>
    </row>
    <row r="41" spans="1:31" ht="28.5" x14ac:dyDescent="0.25">
      <c r="A41" s="94">
        <v>340</v>
      </c>
      <c r="B41" s="102">
        <v>3121</v>
      </c>
      <c r="C41" s="253">
        <v>48623687</v>
      </c>
      <c r="D41" s="115" t="s">
        <v>25</v>
      </c>
      <c r="E41" s="199">
        <v>4267.09</v>
      </c>
      <c r="F41" s="180">
        <v>406.05</v>
      </c>
      <c r="G41" s="190">
        <v>119.72999999999999</v>
      </c>
      <c r="H41" s="182">
        <v>324.8</v>
      </c>
      <c r="I41" s="320"/>
      <c r="J41" s="140"/>
      <c r="K41" s="222"/>
      <c r="L41" s="307"/>
      <c r="M41" s="307"/>
      <c r="N41" s="314"/>
      <c r="O41" s="168"/>
      <c r="P41" s="332"/>
      <c r="Q41" s="333"/>
      <c r="R41" s="141">
        <f t="shared" si="4"/>
        <v>4267.09</v>
      </c>
      <c r="S41" s="218">
        <f t="shared" si="8"/>
        <v>406.05</v>
      </c>
      <c r="T41" s="142">
        <f t="shared" si="9"/>
        <v>119.72999999999999</v>
      </c>
      <c r="U41" s="143">
        <f t="shared" si="10"/>
        <v>324.8</v>
      </c>
      <c r="V41" s="275">
        <v>3</v>
      </c>
      <c r="W41" s="233"/>
      <c r="X41" s="226">
        <v>55</v>
      </c>
      <c r="Y41" s="233"/>
      <c r="Z41" s="150"/>
      <c r="AA41" s="148">
        <f t="shared" si="5"/>
        <v>0</v>
      </c>
      <c r="AB41" s="149">
        <f t="shared" si="11"/>
        <v>0</v>
      </c>
      <c r="AC41" s="273">
        <f t="shared" si="6"/>
        <v>0</v>
      </c>
      <c r="AE41" s="272" t="str">
        <f t="shared" si="7"/>
        <v/>
      </c>
    </row>
    <row r="42" spans="1:31" ht="28.5" x14ac:dyDescent="0.25">
      <c r="A42" s="65">
        <v>447</v>
      </c>
      <c r="B42" s="97">
        <v>3127</v>
      </c>
      <c r="C42" s="260" t="s">
        <v>122</v>
      </c>
      <c r="D42" s="112" t="s">
        <v>26</v>
      </c>
      <c r="E42" s="179">
        <v>4709.25</v>
      </c>
      <c r="F42" s="196">
        <v>615.4</v>
      </c>
      <c r="G42" s="197">
        <v>0</v>
      </c>
      <c r="H42" s="198">
        <v>492.29999999999995</v>
      </c>
      <c r="I42" s="320"/>
      <c r="J42" s="140"/>
      <c r="K42" s="222"/>
      <c r="L42" s="307">
        <v>21.8</v>
      </c>
      <c r="M42" s="307"/>
      <c r="N42" s="314"/>
      <c r="O42" s="334"/>
      <c r="P42" s="332"/>
      <c r="Q42" s="333"/>
      <c r="R42" s="141">
        <f t="shared" si="4"/>
        <v>4731.05</v>
      </c>
      <c r="S42" s="218">
        <f t="shared" si="8"/>
        <v>615.4</v>
      </c>
      <c r="T42" s="142">
        <f t="shared" si="9"/>
        <v>0</v>
      </c>
      <c r="U42" s="143">
        <f t="shared" si="10"/>
        <v>492.29999999999995</v>
      </c>
      <c r="V42" s="275">
        <v>3</v>
      </c>
      <c r="W42" s="233"/>
      <c r="X42" s="226">
        <f>25.6+4.8</f>
        <v>30.400000000000002</v>
      </c>
      <c r="Y42" s="233"/>
      <c r="Z42" s="150"/>
      <c r="AA42" s="148">
        <f t="shared" si="5"/>
        <v>21.8</v>
      </c>
      <c r="AB42" s="149">
        <f t="shared" si="11"/>
        <v>0</v>
      </c>
      <c r="AC42" s="273">
        <f t="shared" si="6"/>
        <v>0</v>
      </c>
      <c r="AE42" s="272" t="str">
        <f t="shared" si="7"/>
        <v>A</v>
      </c>
    </row>
    <row r="43" spans="1:31" ht="28.5" x14ac:dyDescent="0.25">
      <c r="A43" s="131">
        <v>458</v>
      </c>
      <c r="B43" s="132">
        <v>3127</v>
      </c>
      <c r="C43" s="257">
        <v>6668356</v>
      </c>
      <c r="D43" s="116" t="s">
        <v>100</v>
      </c>
      <c r="E43" s="179">
        <v>13679.12</v>
      </c>
      <c r="F43" s="180">
        <v>2807</v>
      </c>
      <c r="G43" s="190">
        <v>100.43</v>
      </c>
      <c r="H43" s="182">
        <v>2334.56</v>
      </c>
      <c r="I43" s="320"/>
      <c r="J43" s="140"/>
      <c r="K43" s="222">
        <v>330.1</v>
      </c>
      <c r="L43" s="307">
        <v>8.8000000000000007</v>
      </c>
      <c r="M43" s="307"/>
      <c r="N43" s="314"/>
      <c r="O43" s="334"/>
      <c r="P43" s="332"/>
      <c r="Q43" s="333"/>
      <c r="R43" s="141">
        <f t="shared" si="4"/>
        <v>14018.02</v>
      </c>
      <c r="S43" s="218">
        <f t="shared" si="8"/>
        <v>2807</v>
      </c>
      <c r="T43" s="142">
        <f t="shared" si="9"/>
        <v>100.43</v>
      </c>
      <c r="U43" s="143">
        <f t="shared" si="10"/>
        <v>2334.56</v>
      </c>
      <c r="V43" s="275">
        <v>6</v>
      </c>
      <c r="W43" s="233"/>
      <c r="X43" s="226">
        <f>75+525.6+243.1</f>
        <v>843.7</v>
      </c>
      <c r="Y43" s="233">
        <v>243.1</v>
      </c>
      <c r="Z43" s="150"/>
      <c r="AA43" s="148">
        <f t="shared" si="5"/>
        <v>338.90000000000003</v>
      </c>
      <c r="AB43" s="149">
        <f t="shared" si="11"/>
        <v>0</v>
      </c>
      <c r="AC43" s="273">
        <f t="shared" si="6"/>
        <v>0</v>
      </c>
      <c r="AE43" s="272" t="str">
        <f t="shared" si="7"/>
        <v>A</v>
      </c>
    </row>
    <row r="44" spans="1:31" ht="42.75" x14ac:dyDescent="0.25">
      <c r="A44" s="131">
        <v>459</v>
      </c>
      <c r="B44" s="132">
        <v>3127</v>
      </c>
      <c r="C44" s="257">
        <v>6668275</v>
      </c>
      <c r="D44" s="119" t="s">
        <v>101</v>
      </c>
      <c r="E44" s="179">
        <v>8864.0500000000011</v>
      </c>
      <c r="F44" s="180">
        <v>1797.4</v>
      </c>
      <c r="G44" s="190">
        <v>280</v>
      </c>
      <c r="H44" s="182">
        <v>1448.94</v>
      </c>
      <c r="I44" s="320"/>
      <c r="J44" s="140"/>
      <c r="K44" s="222">
        <v>0</v>
      </c>
      <c r="L44" s="307">
        <v>3.5</v>
      </c>
      <c r="M44" s="307"/>
      <c r="N44" s="314"/>
      <c r="O44" s="334"/>
      <c r="P44" s="332"/>
      <c r="Q44" s="333"/>
      <c r="R44" s="141">
        <f t="shared" si="4"/>
        <v>8867.5500000000011</v>
      </c>
      <c r="S44" s="218">
        <f t="shared" si="8"/>
        <v>1797.4</v>
      </c>
      <c r="T44" s="142">
        <f t="shared" si="9"/>
        <v>280</v>
      </c>
      <c r="U44" s="143">
        <f t="shared" si="10"/>
        <v>1448.94</v>
      </c>
      <c r="V44" s="275">
        <v>4</v>
      </c>
      <c r="W44" s="233"/>
      <c r="X44" s="226"/>
      <c r="Y44" s="233"/>
      <c r="Z44" s="150"/>
      <c r="AA44" s="148">
        <f t="shared" si="5"/>
        <v>3.5</v>
      </c>
      <c r="AB44" s="149">
        <f t="shared" si="11"/>
        <v>0</v>
      </c>
      <c r="AC44" s="273">
        <f t="shared" si="6"/>
        <v>0</v>
      </c>
      <c r="AE44" s="272" t="str">
        <f t="shared" si="7"/>
        <v>A</v>
      </c>
    </row>
    <row r="45" spans="1:31" ht="42.75" x14ac:dyDescent="0.25">
      <c r="A45" s="65">
        <v>345</v>
      </c>
      <c r="B45" s="97">
        <v>3124</v>
      </c>
      <c r="C45" s="253">
        <v>48623725</v>
      </c>
      <c r="D45" s="136" t="s">
        <v>102</v>
      </c>
      <c r="E45" s="179">
        <v>18297.239999999998</v>
      </c>
      <c r="F45" s="180">
        <v>2788.06</v>
      </c>
      <c r="G45" s="190">
        <v>120.5</v>
      </c>
      <c r="H45" s="182">
        <v>2230.41</v>
      </c>
      <c r="I45" s="320">
        <v>19.05</v>
      </c>
      <c r="J45" s="140"/>
      <c r="K45" s="222">
        <v>226.8</v>
      </c>
      <c r="L45" s="307">
        <v>10.8</v>
      </c>
      <c r="M45" s="307"/>
      <c r="N45" s="314">
        <v>111.04</v>
      </c>
      <c r="O45" s="334">
        <v>-19.05</v>
      </c>
      <c r="P45" s="332"/>
      <c r="Q45" s="333">
        <v>111.04</v>
      </c>
      <c r="R45" s="141">
        <f t="shared" si="4"/>
        <v>18664.929999999997</v>
      </c>
      <c r="S45" s="218">
        <f t="shared" si="8"/>
        <v>2899.1</v>
      </c>
      <c r="T45" s="142">
        <f t="shared" si="9"/>
        <v>101.45</v>
      </c>
      <c r="U45" s="143">
        <f t="shared" si="10"/>
        <v>2341.4499999999998</v>
      </c>
      <c r="V45" s="275">
        <v>5</v>
      </c>
      <c r="W45" s="233"/>
      <c r="X45" s="226">
        <f>292.7+167</f>
        <v>459.7</v>
      </c>
      <c r="Y45" s="233">
        <v>167</v>
      </c>
      <c r="Z45" s="150"/>
      <c r="AA45" s="148">
        <f t="shared" si="5"/>
        <v>367.69000000000005</v>
      </c>
      <c r="AB45" s="149">
        <f t="shared" si="11"/>
        <v>-19.05</v>
      </c>
      <c r="AC45" s="273">
        <f t="shared" si="6"/>
        <v>111.04</v>
      </c>
      <c r="AE45" s="272" t="str">
        <f t="shared" si="7"/>
        <v>A</v>
      </c>
    </row>
    <row r="46" spans="1:31" ht="42.75" x14ac:dyDescent="0.25">
      <c r="A46" s="65">
        <v>363</v>
      </c>
      <c r="B46" s="97">
        <v>3114</v>
      </c>
      <c r="C46" s="253">
        <v>70836418</v>
      </c>
      <c r="D46" s="112" t="s">
        <v>132</v>
      </c>
      <c r="E46" s="179">
        <v>4497.0700000000006</v>
      </c>
      <c r="F46" s="180">
        <v>108.41000000000001</v>
      </c>
      <c r="G46" s="190">
        <v>0</v>
      </c>
      <c r="H46" s="182">
        <v>86.699999999999989</v>
      </c>
      <c r="I46" s="320"/>
      <c r="J46" s="140"/>
      <c r="K46" s="222"/>
      <c r="L46" s="307"/>
      <c r="M46" s="307"/>
      <c r="N46" s="314"/>
      <c r="O46" s="314"/>
      <c r="P46" s="332"/>
      <c r="Q46" s="333"/>
      <c r="R46" s="141">
        <f t="shared" si="4"/>
        <v>4497.0700000000006</v>
      </c>
      <c r="S46" s="218">
        <f t="shared" si="8"/>
        <v>108.41000000000001</v>
      </c>
      <c r="T46" s="142">
        <f t="shared" si="9"/>
        <v>0</v>
      </c>
      <c r="U46" s="143">
        <f t="shared" si="10"/>
        <v>86.699999999999989</v>
      </c>
      <c r="V46" s="275">
        <v>2</v>
      </c>
      <c r="W46" s="233"/>
      <c r="X46" s="226"/>
      <c r="Y46" s="233"/>
      <c r="Z46" s="150"/>
      <c r="AA46" s="148">
        <f t="shared" si="5"/>
        <v>0</v>
      </c>
      <c r="AB46" s="149">
        <f t="shared" si="11"/>
        <v>0</v>
      </c>
      <c r="AC46" s="273">
        <f t="shared" si="6"/>
        <v>0</v>
      </c>
      <c r="AE46" s="272" t="str">
        <f t="shared" si="7"/>
        <v/>
      </c>
    </row>
    <row r="47" spans="1:31" ht="39.75" customHeight="1" x14ac:dyDescent="0.25">
      <c r="A47" s="65">
        <v>346</v>
      </c>
      <c r="B47" s="96">
        <v>3114</v>
      </c>
      <c r="C47" s="253">
        <v>48623733</v>
      </c>
      <c r="D47" s="112" t="s">
        <v>113</v>
      </c>
      <c r="E47" s="179">
        <v>3171.5699999999997</v>
      </c>
      <c r="F47" s="180">
        <v>363.26</v>
      </c>
      <c r="G47" s="190">
        <v>0</v>
      </c>
      <c r="H47" s="182">
        <v>290.58999999999997</v>
      </c>
      <c r="I47" s="320"/>
      <c r="J47" s="140"/>
      <c r="K47" s="222"/>
      <c r="L47" s="307"/>
      <c r="M47" s="307"/>
      <c r="N47" s="314"/>
      <c r="O47" s="314"/>
      <c r="P47" s="332"/>
      <c r="Q47" s="333"/>
      <c r="R47" s="141">
        <f t="shared" si="4"/>
        <v>3171.5699999999997</v>
      </c>
      <c r="S47" s="218">
        <f t="shared" si="8"/>
        <v>363.26</v>
      </c>
      <c r="T47" s="142">
        <f t="shared" si="9"/>
        <v>0</v>
      </c>
      <c r="U47" s="143">
        <f t="shared" si="10"/>
        <v>290.58999999999997</v>
      </c>
      <c r="V47" s="275">
        <v>2</v>
      </c>
      <c r="W47" s="233"/>
      <c r="X47" s="226">
        <v>1.5</v>
      </c>
      <c r="Y47" s="233"/>
      <c r="Z47" s="150"/>
      <c r="AA47" s="148">
        <f t="shared" si="5"/>
        <v>0</v>
      </c>
      <c r="AB47" s="149">
        <f t="shared" si="11"/>
        <v>0</v>
      </c>
      <c r="AC47" s="273">
        <f t="shared" si="6"/>
        <v>0</v>
      </c>
      <c r="AE47" s="272" t="str">
        <f t="shared" si="7"/>
        <v/>
      </c>
    </row>
    <row r="48" spans="1:31" ht="25.5" customHeight="1" x14ac:dyDescent="0.25">
      <c r="A48" s="65">
        <v>349</v>
      </c>
      <c r="B48" s="97">
        <v>3133</v>
      </c>
      <c r="C48" s="253">
        <v>48623741</v>
      </c>
      <c r="D48" s="112" t="s">
        <v>27</v>
      </c>
      <c r="E48" s="179">
        <v>5987.04</v>
      </c>
      <c r="F48" s="180">
        <v>397.94</v>
      </c>
      <c r="G48" s="190">
        <v>0</v>
      </c>
      <c r="H48" s="182">
        <v>318.34999999999997</v>
      </c>
      <c r="I48" s="320">
        <v>150</v>
      </c>
      <c r="J48" s="140"/>
      <c r="K48" s="222"/>
      <c r="L48" s="307"/>
      <c r="M48" s="307"/>
      <c r="N48" s="314"/>
      <c r="O48" s="314"/>
      <c r="P48" s="332"/>
      <c r="Q48" s="333"/>
      <c r="R48" s="141">
        <f t="shared" si="4"/>
        <v>6137.04</v>
      </c>
      <c r="S48" s="218">
        <f t="shared" si="8"/>
        <v>397.94</v>
      </c>
      <c r="T48" s="142">
        <f t="shared" si="9"/>
        <v>0</v>
      </c>
      <c r="U48" s="143">
        <f t="shared" si="10"/>
        <v>318.34999999999997</v>
      </c>
      <c r="V48" s="275">
        <v>2</v>
      </c>
      <c r="W48" s="233"/>
      <c r="X48" s="226"/>
      <c r="Y48" s="233"/>
      <c r="Z48" s="150"/>
      <c r="AA48" s="148">
        <f t="shared" si="5"/>
        <v>150</v>
      </c>
      <c r="AB48" s="149">
        <f t="shared" si="11"/>
        <v>0</v>
      </c>
      <c r="AC48" s="273">
        <f t="shared" si="6"/>
        <v>0</v>
      </c>
      <c r="AE48" s="272" t="str">
        <f t="shared" si="7"/>
        <v>A</v>
      </c>
    </row>
    <row r="49" spans="1:31" ht="29.25" thickBot="1" x14ac:dyDescent="0.3">
      <c r="A49" s="105">
        <v>358</v>
      </c>
      <c r="B49" s="125">
        <v>3114</v>
      </c>
      <c r="C49" s="254">
        <v>70836469</v>
      </c>
      <c r="D49" s="121" t="s">
        <v>93</v>
      </c>
      <c r="E49" s="200">
        <v>1274.58</v>
      </c>
      <c r="F49" s="201">
        <v>130.07000000000002</v>
      </c>
      <c r="G49" s="202">
        <v>0</v>
      </c>
      <c r="H49" s="203">
        <v>104.05999999999999</v>
      </c>
      <c r="I49" s="349"/>
      <c r="J49" s="303"/>
      <c r="K49" s="304"/>
      <c r="L49" s="350"/>
      <c r="M49" s="350"/>
      <c r="N49" s="315"/>
      <c r="O49" s="315"/>
      <c r="P49" s="351"/>
      <c r="Q49" s="352"/>
      <c r="R49" s="154">
        <f t="shared" si="4"/>
        <v>1274.58</v>
      </c>
      <c r="S49" s="220">
        <f t="shared" si="8"/>
        <v>130.07000000000002</v>
      </c>
      <c r="T49" s="155">
        <f t="shared" si="9"/>
        <v>0</v>
      </c>
      <c r="U49" s="318">
        <f t="shared" si="10"/>
        <v>104.05999999999999</v>
      </c>
      <c r="V49" s="277">
        <v>1</v>
      </c>
      <c r="W49" s="235"/>
      <c r="X49" s="228">
        <f>4.5+5</f>
        <v>9.5</v>
      </c>
      <c r="Y49" s="235"/>
      <c r="Z49" s="150"/>
      <c r="AA49" s="322">
        <f t="shared" si="5"/>
        <v>0</v>
      </c>
      <c r="AB49" s="323">
        <f t="shared" si="11"/>
        <v>0</v>
      </c>
      <c r="AC49" s="324">
        <f t="shared" si="6"/>
        <v>0</v>
      </c>
      <c r="AE49" s="272" t="str">
        <f t="shared" si="7"/>
        <v/>
      </c>
    </row>
    <row r="50" spans="1:31" ht="28.5" x14ac:dyDescent="0.25">
      <c r="A50" s="126">
        <v>367</v>
      </c>
      <c r="B50" s="127">
        <v>3121</v>
      </c>
      <c r="C50" s="261">
        <v>60884703</v>
      </c>
      <c r="D50" s="123" t="s">
        <v>28</v>
      </c>
      <c r="E50" s="204">
        <v>4302.2300000000005</v>
      </c>
      <c r="F50" s="205">
        <v>559.81999999999994</v>
      </c>
      <c r="G50" s="194">
        <v>285</v>
      </c>
      <c r="H50" s="206">
        <v>447.80999999999995</v>
      </c>
      <c r="I50" s="168"/>
      <c r="J50" s="222">
        <v>3.68</v>
      </c>
      <c r="K50" s="222"/>
      <c r="L50" s="307"/>
      <c r="M50" s="307"/>
      <c r="N50" s="314">
        <v>2.92</v>
      </c>
      <c r="O50" s="314"/>
      <c r="P50" s="332"/>
      <c r="Q50" s="333">
        <v>2.92</v>
      </c>
      <c r="R50" s="145">
        <f t="shared" si="4"/>
        <v>4308.8300000000008</v>
      </c>
      <c r="S50" s="219">
        <f t="shared" si="8"/>
        <v>562.7399999999999</v>
      </c>
      <c r="T50" s="147">
        <f t="shared" si="9"/>
        <v>285</v>
      </c>
      <c r="U50" s="143">
        <f t="shared" si="10"/>
        <v>450.72999999999996</v>
      </c>
      <c r="V50" s="276">
        <v>6</v>
      </c>
      <c r="W50" s="237"/>
      <c r="X50" s="239">
        <f>14.08+7.85+6.9+3.49</f>
        <v>32.32</v>
      </c>
      <c r="Y50" s="238">
        <v>3.49</v>
      </c>
      <c r="Z50" s="150"/>
      <c r="AA50" s="145">
        <f t="shared" si="5"/>
        <v>6.6</v>
      </c>
      <c r="AB50" s="146">
        <f t="shared" si="11"/>
        <v>0</v>
      </c>
      <c r="AC50" s="147">
        <f t="shared" si="6"/>
        <v>2.92</v>
      </c>
      <c r="AE50" s="272" t="str">
        <f t="shared" si="7"/>
        <v>A</v>
      </c>
    </row>
    <row r="51" spans="1:31" x14ac:dyDescent="0.25">
      <c r="A51" s="70">
        <v>368</v>
      </c>
      <c r="B51" s="68">
        <v>3121</v>
      </c>
      <c r="C51" s="262">
        <v>60884762</v>
      </c>
      <c r="D51" s="112" t="s">
        <v>29</v>
      </c>
      <c r="E51" s="188">
        <v>2589.3799999999997</v>
      </c>
      <c r="F51" s="189">
        <v>440.95</v>
      </c>
      <c r="G51" s="190">
        <v>0</v>
      </c>
      <c r="H51" s="191">
        <v>352.8</v>
      </c>
      <c r="I51" s="168"/>
      <c r="J51" s="222"/>
      <c r="K51" s="222"/>
      <c r="L51" s="307"/>
      <c r="M51" s="307"/>
      <c r="N51" s="314"/>
      <c r="O51" s="314"/>
      <c r="P51" s="332"/>
      <c r="Q51" s="333"/>
      <c r="R51" s="141">
        <f t="shared" si="4"/>
        <v>2589.3799999999997</v>
      </c>
      <c r="S51" s="218">
        <f t="shared" si="8"/>
        <v>440.95</v>
      </c>
      <c r="T51" s="142">
        <f t="shared" si="9"/>
        <v>0</v>
      </c>
      <c r="U51" s="143">
        <f t="shared" si="10"/>
        <v>352.8</v>
      </c>
      <c r="V51" s="275">
        <v>3</v>
      </c>
      <c r="W51" s="233"/>
      <c r="X51" s="226">
        <f>40.17+6.1</f>
        <v>46.27</v>
      </c>
      <c r="Y51" s="233"/>
      <c r="Z51" s="150"/>
      <c r="AA51" s="148">
        <f t="shared" si="5"/>
        <v>0</v>
      </c>
      <c r="AB51" s="149">
        <f t="shared" si="11"/>
        <v>0</v>
      </c>
      <c r="AC51" s="273">
        <f t="shared" si="6"/>
        <v>0</v>
      </c>
      <c r="AE51" s="272" t="str">
        <f t="shared" si="7"/>
        <v/>
      </c>
    </row>
    <row r="52" spans="1:31" ht="28.5" x14ac:dyDescent="0.25">
      <c r="A52" s="66">
        <v>371</v>
      </c>
      <c r="B52" s="69">
        <v>3122</v>
      </c>
      <c r="C52" s="262">
        <v>60884711</v>
      </c>
      <c r="D52" s="121" t="s">
        <v>30</v>
      </c>
      <c r="E52" s="188">
        <v>3294.96</v>
      </c>
      <c r="F52" s="189">
        <v>115.23</v>
      </c>
      <c r="G52" s="190">
        <v>0</v>
      </c>
      <c r="H52" s="191">
        <v>92.23</v>
      </c>
      <c r="I52" s="168">
        <v>100</v>
      </c>
      <c r="J52" s="167"/>
      <c r="K52" s="222"/>
      <c r="L52" s="307"/>
      <c r="M52" s="307"/>
      <c r="N52" s="314"/>
      <c r="O52" s="314"/>
      <c r="P52" s="332"/>
      <c r="Q52" s="333"/>
      <c r="R52" s="141">
        <f t="shared" si="4"/>
        <v>3394.96</v>
      </c>
      <c r="S52" s="218">
        <f t="shared" si="8"/>
        <v>115.23</v>
      </c>
      <c r="T52" s="142">
        <f t="shared" si="9"/>
        <v>0</v>
      </c>
      <c r="U52" s="143">
        <f t="shared" si="10"/>
        <v>92.23</v>
      </c>
      <c r="V52" s="275">
        <v>3</v>
      </c>
      <c r="W52" s="233"/>
      <c r="X52" s="226">
        <v>55.95</v>
      </c>
      <c r="Y52" s="233"/>
      <c r="Z52" s="150"/>
      <c r="AA52" s="148">
        <f t="shared" si="5"/>
        <v>100</v>
      </c>
      <c r="AB52" s="149">
        <f t="shared" si="11"/>
        <v>0</v>
      </c>
      <c r="AC52" s="273">
        <f t="shared" si="6"/>
        <v>0</v>
      </c>
      <c r="AE52" s="272" t="str">
        <f t="shared" si="7"/>
        <v>A</v>
      </c>
    </row>
    <row r="53" spans="1:31" ht="39.6" customHeight="1" x14ac:dyDescent="0.25">
      <c r="A53" s="70">
        <v>370</v>
      </c>
      <c r="B53" s="72">
        <v>3122</v>
      </c>
      <c r="C53" s="262">
        <v>60884746</v>
      </c>
      <c r="D53" s="112" t="s">
        <v>31</v>
      </c>
      <c r="E53" s="188">
        <v>3764.2000000000003</v>
      </c>
      <c r="F53" s="189">
        <v>432.54999999999995</v>
      </c>
      <c r="G53" s="190">
        <v>120</v>
      </c>
      <c r="H53" s="191">
        <v>346.02</v>
      </c>
      <c r="I53" s="168"/>
      <c r="J53" s="140"/>
      <c r="K53" s="222">
        <v>130.69999999999999</v>
      </c>
      <c r="L53" s="307"/>
      <c r="M53" s="307"/>
      <c r="N53" s="314"/>
      <c r="O53" s="314"/>
      <c r="P53" s="332"/>
      <c r="Q53" s="333"/>
      <c r="R53" s="141">
        <f t="shared" si="4"/>
        <v>3894.9</v>
      </c>
      <c r="S53" s="218">
        <f t="shared" si="8"/>
        <v>432.54999999999995</v>
      </c>
      <c r="T53" s="142">
        <f t="shared" si="9"/>
        <v>120</v>
      </c>
      <c r="U53" s="143">
        <f t="shared" si="10"/>
        <v>346.02</v>
      </c>
      <c r="V53" s="275">
        <v>3</v>
      </c>
      <c r="W53" s="233"/>
      <c r="X53" s="226">
        <f>205.1+96.2</f>
        <v>301.3</v>
      </c>
      <c r="Y53" s="233">
        <v>96.2</v>
      </c>
      <c r="Z53" s="150"/>
      <c r="AA53" s="148">
        <f t="shared" si="5"/>
        <v>130.69999999999999</v>
      </c>
      <c r="AB53" s="149">
        <f t="shared" si="11"/>
        <v>0</v>
      </c>
      <c r="AC53" s="273">
        <f t="shared" si="6"/>
        <v>0</v>
      </c>
      <c r="AE53" s="272" t="str">
        <f t="shared" si="7"/>
        <v>A</v>
      </c>
    </row>
    <row r="54" spans="1:31" ht="42.75" x14ac:dyDescent="0.25">
      <c r="A54" s="70">
        <v>454</v>
      </c>
      <c r="B54" s="72">
        <v>3127</v>
      </c>
      <c r="C54" s="262">
        <v>75137011</v>
      </c>
      <c r="D54" s="115" t="s">
        <v>32</v>
      </c>
      <c r="E54" s="188">
        <v>14535.52</v>
      </c>
      <c r="F54" s="189">
        <v>5792.92</v>
      </c>
      <c r="G54" s="190">
        <v>10355.379999999999</v>
      </c>
      <c r="H54" s="191">
        <v>4746.01</v>
      </c>
      <c r="I54" s="339">
        <v>198</v>
      </c>
      <c r="J54" s="140"/>
      <c r="K54" s="222">
        <v>330.4</v>
      </c>
      <c r="L54" s="307">
        <v>0</v>
      </c>
      <c r="M54" s="307"/>
      <c r="N54" s="314"/>
      <c r="O54" s="334"/>
      <c r="P54" s="332"/>
      <c r="Q54" s="333"/>
      <c r="R54" s="141">
        <f t="shared" si="4"/>
        <v>15063.92</v>
      </c>
      <c r="S54" s="218">
        <f t="shared" si="8"/>
        <v>5792.92</v>
      </c>
      <c r="T54" s="142">
        <f t="shared" si="9"/>
        <v>10355.379999999999</v>
      </c>
      <c r="U54" s="143">
        <f t="shared" si="10"/>
        <v>4746.01</v>
      </c>
      <c r="V54" s="275">
        <v>4</v>
      </c>
      <c r="W54" s="233"/>
      <c r="X54" s="226">
        <f>512.7+243.3</f>
        <v>756</v>
      </c>
      <c r="Y54" s="233">
        <v>243.3</v>
      </c>
      <c r="Z54" s="157"/>
      <c r="AA54" s="148">
        <f t="shared" si="5"/>
        <v>528.4</v>
      </c>
      <c r="AB54" s="149">
        <f t="shared" si="11"/>
        <v>0</v>
      </c>
      <c r="AC54" s="273">
        <f t="shared" si="6"/>
        <v>0</v>
      </c>
      <c r="AE54" s="272" t="str">
        <f t="shared" si="7"/>
        <v>A</v>
      </c>
    </row>
    <row r="55" spans="1:31" ht="43.5" x14ac:dyDescent="0.25">
      <c r="A55" s="70">
        <v>372</v>
      </c>
      <c r="B55" s="72">
        <v>3127</v>
      </c>
      <c r="C55" s="262">
        <v>60884690</v>
      </c>
      <c r="D55" s="122" t="s">
        <v>103</v>
      </c>
      <c r="E55" s="188">
        <v>6980.48</v>
      </c>
      <c r="F55" s="189">
        <v>1145.1300000000001</v>
      </c>
      <c r="G55" s="190">
        <v>271</v>
      </c>
      <c r="H55" s="191">
        <v>918.64</v>
      </c>
      <c r="I55" s="339"/>
      <c r="J55" s="140"/>
      <c r="K55" s="222">
        <v>130.9</v>
      </c>
      <c r="L55" s="307">
        <v>81.2</v>
      </c>
      <c r="M55" s="307"/>
      <c r="N55" s="314"/>
      <c r="O55" s="334"/>
      <c r="P55" s="332"/>
      <c r="Q55" s="333"/>
      <c r="R55" s="141">
        <f t="shared" si="4"/>
        <v>7192.579999999999</v>
      </c>
      <c r="S55" s="218">
        <f t="shared" si="8"/>
        <v>1145.1300000000001</v>
      </c>
      <c r="T55" s="142">
        <f t="shared" si="9"/>
        <v>271</v>
      </c>
      <c r="U55" s="143">
        <f t="shared" si="10"/>
        <v>918.64</v>
      </c>
      <c r="V55" s="275">
        <v>4</v>
      </c>
      <c r="W55" s="233"/>
      <c r="X55" s="226">
        <f>183.7+96.4</f>
        <v>280.10000000000002</v>
      </c>
      <c r="Y55" s="233">
        <v>96.4</v>
      </c>
      <c r="Z55" s="150"/>
      <c r="AA55" s="148">
        <f t="shared" si="5"/>
        <v>212.10000000000002</v>
      </c>
      <c r="AB55" s="149">
        <f t="shared" si="11"/>
        <v>0</v>
      </c>
      <c r="AC55" s="273">
        <f t="shared" si="6"/>
        <v>0</v>
      </c>
      <c r="AE55" s="272" t="str">
        <f t="shared" si="7"/>
        <v>A</v>
      </c>
    </row>
    <row r="56" spans="1:31" ht="33" customHeight="1" x14ac:dyDescent="0.25">
      <c r="A56" s="70">
        <v>381</v>
      </c>
      <c r="B56" s="72">
        <v>3114</v>
      </c>
      <c r="C56" s="262">
        <v>70152497</v>
      </c>
      <c r="D56" s="112" t="s">
        <v>33</v>
      </c>
      <c r="E56" s="188">
        <v>2090.7200000000003</v>
      </c>
      <c r="F56" s="189">
        <v>6.11</v>
      </c>
      <c r="G56" s="190">
        <v>0</v>
      </c>
      <c r="H56" s="191">
        <v>4.9000000000000004</v>
      </c>
      <c r="I56" s="168"/>
      <c r="J56" s="140"/>
      <c r="K56" s="222"/>
      <c r="L56" s="307"/>
      <c r="M56" s="307"/>
      <c r="N56" s="314"/>
      <c r="O56" s="314"/>
      <c r="P56" s="332"/>
      <c r="Q56" s="333"/>
      <c r="R56" s="141">
        <f t="shared" si="4"/>
        <v>2090.7200000000003</v>
      </c>
      <c r="S56" s="218">
        <f t="shared" si="8"/>
        <v>6.11</v>
      </c>
      <c r="T56" s="142">
        <f t="shared" si="9"/>
        <v>0</v>
      </c>
      <c r="U56" s="143">
        <f t="shared" si="10"/>
        <v>4.9000000000000004</v>
      </c>
      <c r="V56" s="275">
        <v>1</v>
      </c>
      <c r="W56" s="233"/>
      <c r="X56" s="226"/>
      <c r="Y56" s="233"/>
      <c r="Z56" s="150"/>
      <c r="AA56" s="148">
        <f t="shared" si="5"/>
        <v>0</v>
      </c>
      <c r="AB56" s="149">
        <f t="shared" si="11"/>
        <v>0</v>
      </c>
      <c r="AC56" s="273">
        <f t="shared" si="6"/>
        <v>0</v>
      </c>
      <c r="AE56" s="272" t="str">
        <f t="shared" si="7"/>
        <v/>
      </c>
    </row>
    <row r="57" spans="1:31" ht="28.5" x14ac:dyDescent="0.25">
      <c r="A57" s="70">
        <v>379</v>
      </c>
      <c r="B57" s="72">
        <v>3114</v>
      </c>
      <c r="C57" s="262">
        <v>70152501</v>
      </c>
      <c r="D57" s="112" t="s">
        <v>34</v>
      </c>
      <c r="E57" s="188">
        <v>771.98</v>
      </c>
      <c r="F57" s="189">
        <v>48.76</v>
      </c>
      <c r="G57" s="190">
        <v>0</v>
      </c>
      <c r="H57" s="191">
        <v>39.03</v>
      </c>
      <c r="I57" s="168"/>
      <c r="J57" s="140"/>
      <c r="K57" s="222"/>
      <c r="L57" s="307"/>
      <c r="M57" s="307"/>
      <c r="N57" s="314"/>
      <c r="O57" s="314"/>
      <c r="P57" s="332"/>
      <c r="Q57" s="333"/>
      <c r="R57" s="141">
        <f t="shared" si="4"/>
        <v>771.98</v>
      </c>
      <c r="S57" s="218">
        <f t="shared" si="8"/>
        <v>48.76</v>
      </c>
      <c r="T57" s="142">
        <f t="shared" si="9"/>
        <v>0</v>
      </c>
      <c r="U57" s="143">
        <f t="shared" si="10"/>
        <v>39.03</v>
      </c>
      <c r="V57" s="275">
        <v>1</v>
      </c>
      <c r="W57" s="233"/>
      <c r="X57" s="226"/>
      <c r="Y57" s="233"/>
      <c r="Z57" s="150"/>
      <c r="AA57" s="148">
        <f t="shared" si="5"/>
        <v>0</v>
      </c>
      <c r="AB57" s="149">
        <f t="shared" si="11"/>
        <v>0</v>
      </c>
      <c r="AC57" s="273">
        <f t="shared" si="6"/>
        <v>0</v>
      </c>
      <c r="AE57" s="272" t="str">
        <f t="shared" si="7"/>
        <v/>
      </c>
    </row>
    <row r="58" spans="1:31" ht="28.5" x14ac:dyDescent="0.25">
      <c r="A58" s="70">
        <v>374</v>
      </c>
      <c r="B58" s="72">
        <v>3133</v>
      </c>
      <c r="C58" s="262">
        <v>60884681</v>
      </c>
      <c r="D58" s="112" t="s">
        <v>45</v>
      </c>
      <c r="E58" s="188">
        <v>2082.44</v>
      </c>
      <c r="F58" s="189">
        <v>97.509999999999991</v>
      </c>
      <c r="G58" s="190">
        <v>0</v>
      </c>
      <c r="H58" s="191">
        <v>78.03</v>
      </c>
      <c r="I58" s="168">
        <v>217.8</v>
      </c>
      <c r="J58" s="140"/>
      <c r="K58" s="222"/>
      <c r="L58" s="307"/>
      <c r="M58" s="307"/>
      <c r="N58" s="314"/>
      <c r="O58" s="314"/>
      <c r="P58" s="332"/>
      <c r="Q58" s="333"/>
      <c r="R58" s="141">
        <f t="shared" si="4"/>
        <v>2300.2400000000002</v>
      </c>
      <c r="S58" s="218">
        <f t="shared" si="8"/>
        <v>97.509999999999991</v>
      </c>
      <c r="T58" s="142">
        <f t="shared" si="9"/>
        <v>0</v>
      </c>
      <c r="U58" s="143">
        <f t="shared" si="10"/>
        <v>78.03</v>
      </c>
      <c r="V58" s="275">
        <v>2</v>
      </c>
      <c r="W58" s="233"/>
      <c r="X58" s="226"/>
      <c r="Y58" s="233"/>
      <c r="Z58" s="150"/>
      <c r="AA58" s="148">
        <f t="shared" si="5"/>
        <v>217.8</v>
      </c>
      <c r="AB58" s="149">
        <f t="shared" si="11"/>
        <v>0</v>
      </c>
      <c r="AC58" s="273">
        <f t="shared" si="6"/>
        <v>0</v>
      </c>
      <c r="AE58" s="272" t="str">
        <f t="shared" si="7"/>
        <v>A</v>
      </c>
    </row>
    <row r="59" spans="1:31" ht="21" customHeight="1" thickBot="1" x14ac:dyDescent="0.3">
      <c r="A59" s="71">
        <v>380</v>
      </c>
      <c r="B59" s="73">
        <v>3133</v>
      </c>
      <c r="C59" s="263">
        <v>70835144</v>
      </c>
      <c r="D59" s="120" t="s">
        <v>35</v>
      </c>
      <c r="E59" s="207">
        <v>3459.13</v>
      </c>
      <c r="F59" s="208">
        <v>194.53</v>
      </c>
      <c r="G59" s="209">
        <v>0</v>
      </c>
      <c r="H59" s="210">
        <v>155.66000000000003</v>
      </c>
      <c r="I59" s="353"/>
      <c r="J59" s="305"/>
      <c r="K59" s="306"/>
      <c r="L59" s="341"/>
      <c r="M59" s="341"/>
      <c r="N59" s="316"/>
      <c r="O59" s="316"/>
      <c r="P59" s="354"/>
      <c r="Q59" s="338"/>
      <c r="R59" s="308">
        <f t="shared" si="4"/>
        <v>3459.13</v>
      </c>
      <c r="S59" s="221">
        <f t="shared" si="8"/>
        <v>194.53</v>
      </c>
      <c r="T59" s="160">
        <f t="shared" si="9"/>
        <v>0</v>
      </c>
      <c r="U59" s="156">
        <f t="shared" si="10"/>
        <v>155.66000000000003</v>
      </c>
      <c r="V59" s="278">
        <v>2</v>
      </c>
      <c r="W59" s="234"/>
      <c r="X59" s="229">
        <v>15.93</v>
      </c>
      <c r="Y59" s="234"/>
      <c r="Z59" s="150"/>
      <c r="AA59" s="159">
        <f t="shared" si="5"/>
        <v>0</v>
      </c>
      <c r="AB59" s="161">
        <f t="shared" si="11"/>
        <v>0</v>
      </c>
      <c r="AC59" s="160">
        <f t="shared" si="6"/>
        <v>0</v>
      </c>
      <c r="AE59" s="272" t="str">
        <f t="shared" si="7"/>
        <v/>
      </c>
    </row>
    <row r="60" spans="1:31" ht="28.5" x14ac:dyDescent="0.25">
      <c r="A60" s="103">
        <v>409</v>
      </c>
      <c r="B60" s="104">
        <v>3121</v>
      </c>
      <c r="C60" s="259">
        <v>60153393</v>
      </c>
      <c r="D60" s="123" t="s">
        <v>36</v>
      </c>
      <c r="E60" s="211">
        <v>2750.3999999999996</v>
      </c>
      <c r="F60" s="212">
        <v>42.96</v>
      </c>
      <c r="G60" s="197">
        <v>0</v>
      </c>
      <c r="H60" s="213">
        <v>38.36</v>
      </c>
      <c r="I60" s="345"/>
      <c r="J60" s="151"/>
      <c r="K60" s="223"/>
      <c r="L60" s="346"/>
      <c r="M60" s="151">
        <v>10</v>
      </c>
      <c r="N60" s="317"/>
      <c r="O60" s="317"/>
      <c r="P60" s="348"/>
      <c r="Q60" s="355"/>
      <c r="R60" s="141">
        <f t="shared" si="4"/>
        <v>2760.3999999999996</v>
      </c>
      <c r="S60" s="218">
        <f t="shared" si="8"/>
        <v>42.96</v>
      </c>
      <c r="T60" s="142">
        <f t="shared" si="9"/>
        <v>0</v>
      </c>
      <c r="U60" s="152">
        <f t="shared" si="10"/>
        <v>38.36</v>
      </c>
      <c r="V60" s="276">
        <v>3</v>
      </c>
      <c r="W60" s="237"/>
      <c r="X60" s="227">
        <v>14</v>
      </c>
      <c r="Y60" s="236"/>
      <c r="Z60" s="150"/>
      <c r="AA60" s="141">
        <f t="shared" si="5"/>
        <v>10</v>
      </c>
      <c r="AB60" s="325">
        <f t="shared" si="11"/>
        <v>0</v>
      </c>
      <c r="AC60" s="142">
        <f t="shared" si="6"/>
        <v>0</v>
      </c>
      <c r="AE60" s="272" t="str">
        <f t="shared" si="7"/>
        <v>A</v>
      </c>
    </row>
    <row r="61" spans="1:31" ht="23.65" customHeight="1" x14ac:dyDescent="0.25">
      <c r="A61" s="65">
        <v>410</v>
      </c>
      <c r="B61" s="96">
        <v>3121</v>
      </c>
      <c r="C61" s="253">
        <v>60153237</v>
      </c>
      <c r="D61" s="112" t="s">
        <v>37</v>
      </c>
      <c r="E61" s="188">
        <v>7371.8399999999992</v>
      </c>
      <c r="F61" s="189">
        <v>1508.7</v>
      </c>
      <c r="G61" s="190">
        <v>0</v>
      </c>
      <c r="H61" s="191">
        <v>1206.92</v>
      </c>
      <c r="I61" s="320"/>
      <c r="J61" s="222"/>
      <c r="K61" s="222"/>
      <c r="L61" s="307"/>
      <c r="M61" s="140"/>
      <c r="N61" s="314"/>
      <c r="O61" s="314"/>
      <c r="P61" s="333"/>
      <c r="Q61" s="355"/>
      <c r="R61" s="141">
        <f t="shared" si="4"/>
        <v>7371.8399999999992</v>
      </c>
      <c r="S61" s="218">
        <f t="shared" si="8"/>
        <v>1508.7</v>
      </c>
      <c r="T61" s="142">
        <f t="shared" si="9"/>
        <v>0</v>
      </c>
      <c r="U61" s="143">
        <f t="shared" si="10"/>
        <v>1206.92</v>
      </c>
      <c r="V61" s="275">
        <v>3</v>
      </c>
      <c r="W61" s="233"/>
      <c r="X61" s="226">
        <v>27.41</v>
      </c>
      <c r="Y61" s="233"/>
      <c r="Z61" s="150"/>
      <c r="AA61" s="148">
        <f t="shared" si="5"/>
        <v>0</v>
      </c>
      <c r="AB61" s="149">
        <f t="shared" si="11"/>
        <v>0</v>
      </c>
      <c r="AC61" s="273">
        <f t="shared" si="6"/>
        <v>0</v>
      </c>
      <c r="AE61" s="272" t="str">
        <f t="shared" si="7"/>
        <v/>
      </c>
    </row>
    <row r="62" spans="1:31" ht="28.5" x14ac:dyDescent="0.25">
      <c r="A62" s="105">
        <v>413</v>
      </c>
      <c r="B62" s="106">
        <v>3121</v>
      </c>
      <c r="C62" s="253">
        <v>60153245</v>
      </c>
      <c r="D62" s="136" t="s">
        <v>104</v>
      </c>
      <c r="E62" s="188">
        <v>6925.06</v>
      </c>
      <c r="F62" s="189">
        <v>752.56000000000006</v>
      </c>
      <c r="G62" s="190">
        <v>0</v>
      </c>
      <c r="H62" s="191">
        <v>605.80999999999995</v>
      </c>
      <c r="I62" s="320"/>
      <c r="J62" s="140"/>
      <c r="K62" s="222"/>
      <c r="L62" s="307"/>
      <c r="M62" s="140"/>
      <c r="N62" s="314"/>
      <c r="O62" s="314"/>
      <c r="P62" s="333"/>
      <c r="Q62" s="355"/>
      <c r="R62" s="141">
        <f t="shared" si="4"/>
        <v>6925.06</v>
      </c>
      <c r="S62" s="218">
        <f t="shared" si="8"/>
        <v>752.56000000000006</v>
      </c>
      <c r="T62" s="142">
        <f t="shared" si="9"/>
        <v>0</v>
      </c>
      <c r="U62" s="143">
        <f t="shared" si="10"/>
        <v>605.80999999999995</v>
      </c>
      <c r="V62" s="275">
        <v>4</v>
      </c>
      <c r="W62" s="233"/>
      <c r="X62" s="226">
        <v>46.71</v>
      </c>
      <c r="Y62" s="233"/>
      <c r="Z62" s="150"/>
      <c r="AA62" s="148">
        <f t="shared" si="5"/>
        <v>0</v>
      </c>
      <c r="AB62" s="149">
        <f t="shared" si="11"/>
        <v>0</v>
      </c>
      <c r="AC62" s="273">
        <f t="shared" si="6"/>
        <v>0</v>
      </c>
      <c r="AE62" s="272" t="str">
        <f t="shared" si="7"/>
        <v/>
      </c>
    </row>
    <row r="63" spans="1:31" ht="42.75" x14ac:dyDescent="0.25">
      <c r="A63" s="65">
        <v>418</v>
      </c>
      <c r="B63" s="96">
        <v>3127</v>
      </c>
      <c r="C63" s="253">
        <v>67439918</v>
      </c>
      <c r="D63" s="112" t="s">
        <v>114</v>
      </c>
      <c r="E63" s="188">
        <v>7833.85</v>
      </c>
      <c r="F63" s="189">
        <v>1128.3499999999999</v>
      </c>
      <c r="G63" s="190">
        <v>35076.19</v>
      </c>
      <c r="H63" s="191">
        <v>913.86</v>
      </c>
      <c r="I63" s="320">
        <v>80</v>
      </c>
      <c r="J63" s="140"/>
      <c r="K63" s="222"/>
      <c r="L63" s="307"/>
      <c r="M63" s="140"/>
      <c r="N63" s="314"/>
      <c r="O63" s="314"/>
      <c r="P63" s="333"/>
      <c r="Q63" s="355"/>
      <c r="R63" s="141">
        <f t="shared" si="4"/>
        <v>7913.85</v>
      </c>
      <c r="S63" s="218">
        <f t="shared" si="8"/>
        <v>1128.3499999999999</v>
      </c>
      <c r="T63" s="142">
        <f t="shared" si="9"/>
        <v>35076.19</v>
      </c>
      <c r="U63" s="143">
        <f t="shared" si="10"/>
        <v>913.86</v>
      </c>
      <c r="V63" s="275">
        <v>5</v>
      </c>
      <c r="W63" s="233"/>
      <c r="X63" s="226">
        <v>55</v>
      </c>
      <c r="Y63" s="233"/>
      <c r="Z63" s="150"/>
      <c r="AA63" s="148">
        <f t="shared" si="5"/>
        <v>80</v>
      </c>
      <c r="AB63" s="149">
        <f t="shared" si="11"/>
        <v>0</v>
      </c>
      <c r="AC63" s="273">
        <f t="shared" si="6"/>
        <v>0</v>
      </c>
      <c r="AE63" s="272" t="str">
        <f t="shared" si="7"/>
        <v>A</v>
      </c>
    </row>
    <row r="64" spans="1:31" ht="28.5" x14ac:dyDescent="0.25">
      <c r="A64" s="65">
        <v>419</v>
      </c>
      <c r="B64" s="96">
        <v>3127</v>
      </c>
      <c r="C64" s="253">
        <v>69174415</v>
      </c>
      <c r="D64" s="112" t="s">
        <v>38</v>
      </c>
      <c r="E64" s="188">
        <v>10678.539999999999</v>
      </c>
      <c r="F64" s="189">
        <v>2058.48</v>
      </c>
      <c r="G64" s="190">
        <v>17943.39</v>
      </c>
      <c r="H64" s="191">
        <v>1646.81</v>
      </c>
      <c r="I64" s="356"/>
      <c r="J64" s="140"/>
      <c r="K64" s="222">
        <v>437.7</v>
      </c>
      <c r="L64" s="307">
        <v>274.5</v>
      </c>
      <c r="M64" s="140"/>
      <c r="N64" s="314"/>
      <c r="O64" s="334"/>
      <c r="P64" s="333"/>
      <c r="Q64" s="355"/>
      <c r="R64" s="141">
        <f t="shared" si="4"/>
        <v>11390.74</v>
      </c>
      <c r="S64" s="218">
        <f t="shared" si="8"/>
        <v>2058.48</v>
      </c>
      <c r="T64" s="142">
        <f t="shared" si="9"/>
        <v>17943.39</v>
      </c>
      <c r="U64" s="143">
        <f t="shared" si="10"/>
        <v>1646.81</v>
      </c>
      <c r="V64" s="275">
        <v>15</v>
      </c>
      <c r="W64" s="233"/>
      <c r="X64" s="226">
        <f>795.2+322.3</f>
        <v>1117.5</v>
      </c>
      <c r="Y64" s="233">
        <v>322.3</v>
      </c>
      <c r="Z64" s="150"/>
      <c r="AA64" s="148">
        <f t="shared" si="5"/>
        <v>712.2</v>
      </c>
      <c r="AB64" s="149">
        <f t="shared" si="11"/>
        <v>0</v>
      </c>
      <c r="AC64" s="273">
        <f t="shared" si="6"/>
        <v>0</v>
      </c>
      <c r="AE64" s="272" t="str">
        <f t="shared" si="7"/>
        <v>A</v>
      </c>
    </row>
    <row r="65" spans="1:31" ht="42.75" x14ac:dyDescent="0.25">
      <c r="A65" s="65">
        <v>415</v>
      </c>
      <c r="B65" s="96">
        <v>3122</v>
      </c>
      <c r="C65" s="253">
        <v>13582968</v>
      </c>
      <c r="D65" s="136" t="s">
        <v>105</v>
      </c>
      <c r="E65" s="188">
        <v>5546.829999999999</v>
      </c>
      <c r="F65" s="189">
        <v>588.86</v>
      </c>
      <c r="G65" s="190">
        <v>0</v>
      </c>
      <c r="H65" s="191">
        <v>471.05</v>
      </c>
      <c r="I65" s="357"/>
      <c r="J65" s="140"/>
      <c r="K65" s="222"/>
      <c r="L65" s="307">
        <v>135.5</v>
      </c>
      <c r="M65" s="140">
        <v>10</v>
      </c>
      <c r="N65" s="314"/>
      <c r="O65" s="334"/>
      <c r="P65" s="333"/>
      <c r="Q65" s="355"/>
      <c r="R65" s="141">
        <f t="shared" si="4"/>
        <v>5692.329999999999</v>
      </c>
      <c r="S65" s="218">
        <f t="shared" si="8"/>
        <v>588.86</v>
      </c>
      <c r="T65" s="142">
        <f t="shared" si="9"/>
        <v>0</v>
      </c>
      <c r="U65" s="143">
        <f t="shared" si="10"/>
        <v>471.05</v>
      </c>
      <c r="V65" s="275">
        <v>6</v>
      </c>
      <c r="W65" s="233"/>
      <c r="X65" s="226">
        <v>3</v>
      </c>
      <c r="Y65" s="233"/>
      <c r="Z65" s="150"/>
      <c r="AA65" s="148">
        <f t="shared" si="5"/>
        <v>145.5</v>
      </c>
      <c r="AB65" s="149">
        <f t="shared" si="11"/>
        <v>0</v>
      </c>
      <c r="AC65" s="273">
        <f t="shared" si="6"/>
        <v>0</v>
      </c>
      <c r="AE65" s="272" t="str">
        <f t="shared" si="7"/>
        <v>A</v>
      </c>
    </row>
    <row r="66" spans="1:31" ht="32.25" customHeight="1" x14ac:dyDescent="0.25">
      <c r="A66" s="65">
        <v>416</v>
      </c>
      <c r="B66" s="96">
        <v>3127</v>
      </c>
      <c r="C66" s="253">
        <v>60153296</v>
      </c>
      <c r="D66" s="112" t="s">
        <v>67</v>
      </c>
      <c r="E66" s="188">
        <v>15164.600000000002</v>
      </c>
      <c r="F66" s="189">
        <v>2822.7200000000003</v>
      </c>
      <c r="G66" s="190">
        <v>255.9</v>
      </c>
      <c r="H66" s="191">
        <v>2284.2600000000002</v>
      </c>
      <c r="I66" s="357"/>
      <c r="J66" s="140"/>
      <c r="K66" s="222"/>
      <c r="L66" s="307">
        <v>48.1</v>
      </c>
      <c r="M66" s="307"/>
      <c r="N66" s="314"/>
      <c r="O66" s="334"/>
      <c r="P66" s="333"/>
      <c r="Q66" s="355"/>
      <c r="R66" s="141">
        <f t="shared" si="4"/>
        <v>15212.700000000003</v>
      </c>
      <c r="S66" s="218">
        <f t="shared" si="8"/>
        <v>2822.7200000000003</v>
      </c>
      <c r="T66" s="142">
        <f t="shared" si="9"/>
        <v>255.9</v>
      </c>
      <c r="U66" s="143">
        <f t="shared" si="10"/>
        <v>2284.2600000000002</v>
      </c>
      <c r="V66" s="275">
        <v>6</v>
      </c>
      <c r="W66" s="233"/>
      <c r="X66" s="226"/>
      <c r="Y66" s="233"/>
      <c r="Z66" s="150"/>
      <c r="AA66" s="148">
        <f t="shared" si="5"/>
        <v>48.1</v>
      </c>
      <c r="AB66" s="149">
        <f t="shared" si="11"/>
        <v>0</v>
      </c>
      <c r="AC66" s="273">
        <f t="shared" si="6"/>
        <v>0</v>
      </c>
      <c r="AE66" s="272" t="str">
        <f t="shared" si="7"/>
        <v>A</v>
      </c>
    </row>
    <row r="67" spans="1:31" ht="27" customHeight="1" x14ac:dyDescent="0.25">
      <c r="A67" s="129">
        <v>460</v>
      </c>
      <c r="B67" s="251">
        <v>3127</v>
      </c>
      <c r="C67" s="256" t="s">
        <v>123</v>
      </c>
      <c r="D67" s="116" t="s">
        <v>115</v>
      </c>
      <c r="E67" s="188">
        <v>11394.14</v>
      </c>
      <c r="F67" s="189">
        <v>1210.67</v>
      </c>
      <c r="G67" s="190">
        <v>0</v>
      </c>
      <c r="H67" s="191">
        <v>968.54</v>
      </c>
      <c r="I67" s="356"/>
      <c r="J67" s="140"/>
      <c r="K67" s="222"/>
      <c r="L67" s="307">
        <v>34</v>
      </c>
      <c r="M67" s="307"/>
      <c r="N67" s="314">
        <v>4.91</v>
      </c>
      <c r="O67" s="334"/>
      <c r="P67" s="333"/>
      <c r="Q67" s="355">
        <v>4.91</v>
      </c>
      <c r="R67" s="141">
        <f t="shared" si="4"/>
        <v>11433.05</v>
      </c>
      <c r="S67" s="218">
        <f t="shared" si="8"/>
        <v>1215.5800000000002</v>
      </c>
      <c r="T67" s="142">
        <f t="shared" si="9"/>
        <v>0</v>
      </c>
      <c r="U67" s="143">
        <f t="shared" si="10"/>
        <v>973.44999999999993</v>
      </c>
      <c r="V67" s="275">
        <v>6</v>
      </c>
      <c r="W67" s="233"/>
      <c r="X67" s="226">
        <v>20</v>
      </c>
      <c r="Y67" s="233"/>
      <c r="Z67" s="150"/>
      <c r="AA67" s="148">
        <f t="shared" si="5"/>
        <v>38.909999999999997</v>
      </c>
      <c r="AB67" s="149">
        <f t="shared" si="11"/>
        <v>0</v>
      </c>
      <c r="AC67" s="273">
        <f t="shared" si="6"/>
        <v>4.91</v>
      </c>
      <c r="AE67" s="272" t="str">
        <f t="shared" si="7"/>
        <v>A</v>
      </c>
    </row>
    <row r="68" spans="1:31" ht="28.5" x14ac:dyDescent="0.25">
      <c r="A68" s="65">
        <v>423</v>
      </c>
      <c r="B68" s="96">
        <v>3124</v>
      </c>
      <c r="C68" s="253">
        <v>60154021</v>
      </c>
      <c r="D68" s="112" t="s">
        <v>106</v>
      </c>
      <c r="E68" s="188">
        <v>4342.1899999999996</v>
      </c>
      <c r="F68" s="189">
        <v>480.52</v>
      </c>
      <c r="G68" s="190">
        <v>0</v>
      </c>
      <c r="H68" s="191">
        <v>384.39</v>
      </c>
      <c r="I68" s="356"/>
      <c r="J68" s="140"/>
      <c r="K68" s="222"/>
      <c r="L68" s="307">
        <v>-1.1000000000000001</v>
      </c>
      <c r="M68" s="307"/>
      <c r="N68" s="314"/>
      <c r="O68" s="334"/>
      <c r="P68" s="333"/>
      <c r="Q68" s="355"/>
      <c r="R68" s="141">
        <f t="shared" si="4"/>
        <v>4341.0899999999992</v>
      </c>
      <c r="S68" s="218">
        <f t="shared" si="8"/>
        <v>480.52</v>
      </c>
      <c r="T68" s="142">
        <f t="shared" si="9"/>
        <v>0</v>
      </c>
      <c r="U68" s="143">
        <f t="shared" si="10"/>
        <v>384.39</v>
      </c>
      <c r="V68" s="275">
        <v>3</v>
      </c>
      <c r="W68" s="233"/>
      <c r="X68" s="226">
        <f>100+20</f>
        <v>120</v>
      </c>
      <c r="Y68" s="233">
        <v>20</v>
      </c>
      <c r="Z68" s="150"/>
      <c r="AA68" s="148">
        <f t="shared" si="5"/>
        <v>-1.1000000000000001</v>
      </c>
      <c r="AB68" s="149">
        <f t="shared" si="11"/>
        <v>0</v>
      </c>
      <c r="AC68" s="273">
        <f t="shared" si="6"/>
        <v>0</v>
      </c>
      <c r="AE68" s="272" t="str">
        <f t="shared" si="7"/>
        <v>A</v>
      </c>
    </row>
    <row r="69" spans="1:31" x14ac:dyDescent="0.25">
      <c r="A69" s="65">
        <v>425</v>
      </c>
      <c r="B69" s="96">
        <v>3112</v>
      </c>
      <c r="C69" s="253">
        <v>60153041</v>
      </c>
      <c r="D69" s="112" t="s">
        <v>87</v>
      </c>
      <c r="E69" s="188">
        <v>1352.3899999999999</v>
      </c>
      <c r="F69" s="189">
        <v>41.610000000000007</v>
      </c>
      <c r="G69" s="190">
        <v>0</v>
      </c>
      <c r="H69" s="191">
        <v>33.269999999999996</v>
      </c>
      <c r="I69" s="320"/>
      <c r="J69" s="140"/>
      <c r="K69" s="222"/>
      <c r="L69" s="307"/>
      <c r="M69" s="307"/>
      <c r="N69" s="314"/>
      <c r="O69" s="314"/>
      <c r="P69" s="333"/>
      <c r="Q69" s="355"/>
      <c r="R69" s="141">
        <f t="shared" si="4"/>
        <v>1352.3899999999999</v>
      </c>
      <c r="S69" s="218">
        <f t="shared" si="8"/>
        <v>41.610000000000007</v>
      </c>
      <c r="T69" s="142">
        <f t="shared" si="9"/>
        <v>0</v>
      </c>
      <c r="U69" s="143">
        <f t="shared" si="10"/>
        <v>33.269999999999996</v>
      </c>
      <c r="V69" s="275">
        <v>1</v>
      </c>
      <c r="W69" s="233"/>
      <c r="X69" s="226"/>
      <c r="Y69" s="233"/>
      <c r="Z69" s="150"/>
      <c r="AA69" s="148">
        <f t="shared" si="5"/>
        <v>0</v>
      </c>
      <c r="AB69" s="149">
        <f t="shared" si="11"/>
        <v>0</v>
      </c>
      <c r="AC69" s="273">
        <f t="shared" si="6"/>
        <v>0</v>
      </c>
      <c r="AE69" s="272" t="str">
        <f t="shared" si="7"/>
        <v/>
      </c>
    </row>
    <row r="70" spans="1:31" ht="28.5" x14ac:dyDescent="0.25">
      <c r="A70" s="65">
        <v>433</v>
      </c>
      <c r="B70" s="96">
        <v>3114</v>
      </c>
      <c r="C70" s="253">
        <v>70842116</v>
      </c>
      <c r="D70" s="112" t="s">
        <v>39</v>
      </c>
      <c r="E70" s="188">
        <v>677.44</v>
      </c>
      <c r="F70" s="189">
        <v>0</v>
      </c>
      <c r="G70" s="190">
        <v>0</v>
      </c>
      <c r="H70" s="191">
        <v>0</v>
      </c>
      <c r="I70" s="320"/>
      <c r="J70" s="140"/>
      <c r="K70" s="222"/>
      <c r="L70" s="307"/>
      <c r="M70" s="307"/>
      <c r="N70" s="314"/>
      <c r="O70" s="314"/>
      <c r="P70" s="333"/>
      <c r="Q70" s="355"/>
      <c r="R70" s="141">
        <f t="shared" si="4"/>
        <v>677.44</v>
      </c>
      <c r="S70" s="218">
        <f t="shared" ref="S70:S77" si="12">F70+N70</f>
        <v>0</v>
      </c>
      <c r="T70" s="142">
        <f t="shared" ref="T70:T77" si="13">G70+O70</f>
        <v>0</v>
      </c>
      <c r="U70" s="143">
        <f t="shared" ref="U70:U77" si="14">H70+Q70</f>
        <v>0</v>
      </c>
      <c r="V70" s="275">
        <v>1</v>
      </c>
      <c r="W70" s="233"/>
      <c r="X70" s="226">
        <v>19.16</v>
      </c>
      <c r="Y70" s="233"/>
      <c r="Z70" s="150"/>
      <c r="AA70" s="148">
        <f t="shared" si="5"/>
        <v>0</v>
      </c>
      <c r="AB70" s="149">
        <f t="shared" ref="AB70:AB77" si="15">+O70</f>
        <v>0</v>
      </c>
      <c r="AC70" s="273">
        <f t="shared" si="6"/>
        <v>0</v>
      </c>
      <c r="AE70" s="272" t="str">
        <f t="shared" si="7"/>
        <v/>
      </c>
    </row>
    <row r="71" spans="1:31" ht="42.75" x14ac:dyDescent="0.25">
      <c r="A71" s="65">
        <v>347</v>
      </c>
      <c r="B71" s="96">
        <v>3114</v>
      </c>
      <c r="C71" s="254">
        <v>48623091</v>
      </c>
      <c r="D71" s="112" t="s">
        <v>40</v>
      </c>
      <c r="E71" s="188">
        <v>1937.8700000000001</v>
      </c>
      <c r="F71" s="189">
        <v>220.81</v>
      </c>
      <c r="G71" s="190">
        <v>0</v>
      </c>
      <c r="H71" s="191">
        <v>177.04999999999998</v>
      </c>
      <c r="I71" s="320"/>
      <c r="J71" s="140"/>
      <c r="K71" s="222"/>
      <c r="L71" s="307"/>
      <c r="M71" s="307"/>
      <c r="N71" s="314"/>
      <c r="O71" s="314"/>
      <c r="P71" s="333"/>
      <c r="Q71" s="355"/>
      <c r="R71" s="141">
        <f t="shared" ref="R71:R77" si="16">SUM(E71,I71:N71,P71:P71)</f>
        <v>1937.8700000000001</v>
      </c>
      <c r="S71" s="218">
        <f t="shared" si="12"/>
        <v>220.81</v>
      </c>
      <c r="T71" s="142">
        <f t="shared" si="13"/>
        <v>0</v>
      </c>
      <c r="U71" s="143">
        <f t="shared" si="14"/>
        <v>177.04999999999998</v>
      </c>
      <c r="V71" s="275">
        <v>1</v>
      </c>
      <c r="W71" s="233"/>
      <c r="X71" s="226"/>
      <c r="Y71" s="233"/>
      <c r="Z71" s="150"/>
      <c r="AA71" s="148">
        <f t="shared" ref="AA71:AA77" si="17">SUM(I71:N71)</f>
        <v>0</v>
      </c>
      <c r="AB71" s="149">
        <f t="shared" si="15"/>
        <v>0</v>
      </c>
      <c r="AC71" s="273">
        <f t="shared" ref="AC71:AC77" si="18">Q71</f>
        <v>0</v>
      </c>
      <c r="AE71" s="272" t="str">
        <f t="shared" ref="AE71:AE77" si="19">IF(ABS(AA71)+ABS(AB71)+ABS(AC71)+ABS(W71)+ABS(Y71)&gt;0,"A","")</f>
        <v/>
      </c>
    </row>
    <row r="72" spans="1:31" ht="30" customHeight="1" x14ac:dyDescent="0.25">
      <c r="A72" s="65">
        <v>436</v>
      </c>
      <c r="B72" s="96">
        <v>3114</v>
      </c>
      <c r="C72" s="253">
        <v>70840261</v>
      </c>
      <c r="D72" s="247" t="s">
        <v>68</v>
      </c>
      <c r="E72" s="188">
        <v>2492.63</v>
      </c>
      <c r="F72" s="189">
        <v>30.18</v>
      </c>
      <c r="G72" s="190">
        <v>0</v>
      </c>
      <c r="H72" s="191">
        <v>24.12</v>
      </c>
      <c r="I72" s="320"/>
      <c r="J72" s="140"/>
      <c r="K72" s="222"/>
      <c r="L72" s="307"/>
      <c r="M72" s="307"/>
      <c r="N72" s="314"/>
      <c r="O72" s="314"/>
      <c r="P72" s="333"/>
      <c r="Q72" s="355"/>
      <c r="R72" s="141">
        <f t="shared" si="16"/>
        <v>2492.63</v>
      </c>
      <c r="S72" s="218">
        <f t="shared" si="12"/>
        <v>30.18</v>
      </c>
      <c r="T72" s="142">
        <f t="shared" si="13"/>
        <v>0</v>
      </c>
      <c r="U72" s="143">
        <f t="shared" si="14"/>
        <v>24.12</v>
      </c>
      <c r="V72" s="275">
        <v>1</v>
      </c>
      <c r="W72" s="233"/>
      <c r="X72" s="226"/>
      <c r="Y72" s="233"/>
      <c r="Z72" s="150"/>
      <c r="AA72" s="148">
        <f t="shared" si="17"/>
        <v>0</v>
      </c>
      <c r="AB72" s="149">
        <f t="shared" si="15"/>
        <v>0</v>
      </c>
      <c r="AC72" s="273">
        <f t="shared" si="18"/>
        <v>0</v>
      </c>
      <c r="AE72" s="272" t="str">
        <f t="shared" si="19"/>
        <v/>
      </c>
    </row>
    <row r="73" spans="1:31" ht="28.5" x14ac:dyDescent="0.25">
      <c r="A73" s="65">
        <v>426</v>
      </c>
      <c r="B73" s="96">
        <v>3114</v>
      </c>
      <c r="C73" s="253">
        <v>60153351</v>
      </c>
      <c r="D73" s="112" t="s">
        <v>41</v>
      </c>
      <c r="E73" s="188">
        <v>1128.81</v>
      </c>
      <c r="F73" s="189">
        <v>0.02</v>
      </c>
      <c r="G73" s="190">
        <v>0</v>
      </c>
      <c r="H73" s="191">
        <v>0</v>
      </c>
      <c r="I73" s="320"/>
      <c r="J73" s="140"/>
      <c r="K73" s="222"/>
      <c r="L73" s="307"/>
      <c r="M73" s="307"/>
      <c r="N73" s="314"/>
      <c r="O73" s="314"/>
      <c r="P73" s="333"/>
      <c r="Q73" s="355"/>
      <c r="R73" s="141">
        <f t="shared" si="16"/>
        <v>1128.81</v>
      </c>
      <c r="S73" s="218">
        <f t="shared" si="12"/>
        <v>0.02</v>
      </c>
      <c r="T73" s="142">
        <f t="shared" si="13"/>
        <v>0</v>
      </c>
      <c r="U73" s="143">
        <f t="shared" si="14"/>
        <v>0</v>
      </c>
      <c r="V73" s="275">
        <v>1</v>
      </c>
      <c r="W73" s="233"/>
      <c r="X73" s="226">
        <v>10</v>
      </c>
      <c r="Y73" s="233"/>
      <c r="Z73" s="150"/>
      <c r="AA73" s="148">
        <f t="shared" si="17"/>
        <v>0</v>
      </c>
      <c r="AB73" s="149">
        <f t="shared" si="15"/>
        <v>0</v>
      </c>
      <c r="AC73" s="273">
        <f t="shared" si="18"/>
        <v>0</v>
      </c>
      <c r="AE73" s="272" t="str">
        <f t="shared" si="19"/>
        <v/>
      </c>
    </row>
    <row r="74" spans="1:31" ht="33.75" customHeight="1" x14ac:dyDescent="0.25">
      <c r="A74" s="65">
        <v>432</v>
      </c>
      <c r="B74" s="97">
        <v>3114</v>
      </c>
      <c r="C74" s="253">
        <v>70841179</v>
      </c>
      <c r="D74" s="112" t="s">
        <v>69</v>
      </c>
      <c r="E74" s="188">
        <v>2593.34</v>
      </c>
      <c r="F74" s="189">
        <v>12.3</v>
      </c>
      <c r="G74" s="190">
        <v>0</v>
      </c>
      <c r="H74" s="191">
        <v>9.8000000000000007</v>
      </c>
      <c r="I74" s="320"/>
      <c r="J74" s="140"/>
      <c r="K74" s="222"/>
      <c r="L74" s="307"/>
      <c r="M74" s="307"/>
      <c r="N74" s="314"/>
      <c r="O74" s="314"/>
      <c r="P74" s="333"/>
      <c r="Q74" s="355"/>
      <c r="R74" s="141">
        <f t="shared" si="16"/>
        <v>2593.34</v>
      </c>
      <c r="S74" s="218">
        <f t="shared" si="12"/>
        <v>12.3</v>
      </c>
      <c r="T74" s="142">
        <f t="shared" si="13"/>
        <v>0</v>
      </c>
      <c r="U74" s="143">
        <f t="shared" si="14"/>
        <v>9.8000000000000007</v>
      </c>
      <c r="V74" s="275">
        <v>1</v>
      </c>
      <c r="W74" s="233"/>
      <c r="X74" s="226"/>
      <c r="Y74" s="233"/>
      <c r="Z74" s="150"/>
      <c r="AA74" s="148">
        <f t="shared" si="17"/>
        <v>0</v>
      </c>
      <c r="AB74" s="149">
        <f t="shared" si="15"/>
        <v>0</v>
      </c>
      <c r="AC74" s="273">
        <f t="shared" si="18"/>
        <v>0</v>
      </c>
      <c r="AE74" s="272" t="str">
        <f t="shared" si="19"/>
        <v/>
      </c>
    </row>
    <row r="75" spans="1:31" ht="35.25" customHeight="1" x14ac:dyDescent="0.25">
      <c r="A75" s="65">
        <v>431</v>
      </c>
      <c r="B75" s="96">
        <v>3114</v>
      </c>
      <c r="C75" s="253">
        <v>70841144</v>
      </c>
      <c r="D75" s="112" t="s">
        <v>107</v>
      </c>
      <c r="E75" s="188">
        <v>1940.1399999999999</v>
      </c>
      <c r="F75" s="189">
        <v>334.31</v>
      </c>
      <c r="G75" s="190">
        <v>0</v>
      </c>
      <c r="H75" s="191">
        <v>288.35000000000002</v>
      </c>
      <c r="I75" s="320"/>
      <c r="J75" s="140"/>
      <c r="K75" s="222"/>
      <c r="L75" s="307"/>
      <c r="M75" s="307"/>
      <c r="N75" s="314"/>
      <c r="O75" s="314"/>
      <c r="P75" s="333"/>
      <c r="Q75" s="355"/>
      <c r="R75" s="141">
        <f t="shared" si="16"/>
        <v>1940.1399999999999</v>
      </c>
      <c r="S75" s="218">
        <f t="shared" si="12"/>
        <v>334.31</v>
      </c>
      <c r="T75" s="142">
        <f t="shared" si="13"/>
        <v>0</v>
      </c>
      <c r="U75" s="143">
        <f t="shared" si="14"/>
        <v>288.35000000000002</v>
      </c>
      <c r="V75" s="275">
        <v>1</v>
      </c>
      <c r="W75" s="233"/>
      <c r="X75" s="226">
        <v>1.7</v>
      </c>
      <c r="Y75" s="233"/>
      <c r="Z75" s="150"/>
      <c r="AA75" s="148">
        <f t="shared" si="17"/>
        <v>0</v>
      </c>
      <c r="AB75" s="149">
        <f t="shared" si="15"/>
        <v>0</v>
      </c>
      <c r="AC75" s="273">
        <f t="shared" si="18"/>
        <v>0</v>
      </c>
      <c r="AE75" s="272" t="str">
        <f t="shared" si="19"/>
        <v/>
      </c>
    </row>
    <row r="76" spans="1:31" ht="28.5" x14ac:dyDescent="0.25">
      <c r="A76" s="94">
        <v>428</v>
      </c>
      <c r="B76" s="95">
        <v>3133</v>
      </c>
      <c r="C76" s="253">
        <v>60153270</v>
      </c>
      <c r="D76" s="112" t="s">
        <v>42</v>
      </c>
      <c r="E76" s="188">
        <v>3352.26</v>
      </c>
      <c r="F76" s="189">
        <v>278.76</v>
      </c>
      <c r="G76" s="190">
        <v>0</v>
      </c>
      <c r="H76" s="191">
        <v>220.71</v>
      </c>
      <c r="I76" s="320"/>
      <c r="J76" s="140"/>
      <c r="K76" s="222"/>
      <c r="L76" s="307"/>
      <c r="M76" s="307"/>
      <c r="N76" s="314"/>
      <c r="O76" s="314"/>
      <c r="P76" s="333"/>
      <c r="Q76" s="355"/>
      <c r="R76" s="141">
        <f t="shared" si="16"/>
        <v>3352.26</v>
      </c>
      <c r="S76" s="218">
        <f t="shared" si="12"/>
        <v>278.76</v>
      </c>
      <c r="T76" s="142">
        <f t="shared" si="13"/>
        <v>0</v>
      </c>
      <c r="U76" s="143">
        <f t="shared" si="14"/>
        <v>220.71</v>
      </c>
      <c r="V76" s="275">
        <v>2</v>
      </c>
      <c r="W76" s="233"/>
      <c r="X76" s="226">
        <v>6</v>
      </c>
      <c r="Y76" s="233"/>
      <c r="Z76" s="150"/>
      <c r="AA76" s="148">
        <f t="shared" si="17"/>
        <v>0</v>
      </c>
      <c r="AB76" s="149">
        <f t="shared" si="15"/>
        <v>0</v>
      </c>
      <c r="AC76" s="273">
        <f t="shared" si="18"/>
        <v>0</v>
      </c>
      <c r="AE76" s="272" t="str">
        <f t="shared" si="19"/>
        <v/>
      </c>
    </row>
    <row r="77" spans="1:31" ht="29.25" thickBot="1" x14ac:dyDescent="0.3">
      <c r="A77" s="100">
        <v>427</v>
      </c>
      <c r="B77" s="101">
        <v>3133</v>
      </c>
      <c r="C77" s="258">
        <v>60153423</v>
      </c>
      <c r="D77" s="120" t="s">
        <v>43</v>
      </c>
      <c r="E77" s="188">
        <v>2757.74</v>
      </c>
      <c r="F77" s="189">
        <v>85.18</v>
      </c>
      <c r="G77" s="190">
        <v>0</v>
      </c>
      <c r="H77" s="191">
        <v>68.13</v>
      </c>
      <c r="I77" s="302"/>
      <c r="J77" s="158"/>
      <c r="K77" s="297"/>
      <c r="L77" s="350"/>
      <c r="M77" s="350"/>
      <c r="N77" s="336"/>
      <c r="O77" s="336"/>
      <c r="P77" s="338"/>
      <c r="Q77" s="358"/>
      <c r="R77" s="154">
        <f t="shared" si="16"/>
        <v>2757.74</v>
      </c>
      <c r="S77" s="221">
        <f t="shared" si="12"/>
        <v>85.18</v>
      </c>
      <c r="T77" s="160">
        <f t="shared" si="13"/>
        <v>0</v>
      </c>
      <c r="U77" s="156">
        <f t="shared" si="14"/>
        <v>68.13</v>
      </c>
      <c r="V77" s="278">
        <v>2</v>
      </c>
      <c r="W77" s="234"/>
      <c r="X77" s="229"/>
      <c r="Y77" s="234"/>
      <c r="Z77" s="150"/>
      <c r="AA77" s="159">
        <f t="shared" si="17"/>
        <v>0</v>
      </c>
      <c r="AB77" s="161">
        <f t="shared" si="15"/>
        <v>0</v>
      </c>
      <c r="AC77" s="160">
        <f t="shared" si="18"/>
        <v>0</v>
      </c>
      <c r="AE77" s="272" t="str">
        <f t="shared" si="19"/>
        <v/>
      </c>
    </row>
    <row r="78" spans="1:31" x14ac:dyDescent="0.25">
      <c r="A78" s="39"/>
      <c r="E78" s="214"/>
      <c r="F78" s="215"/>
      <c r="G78" s="215"/>
      <c r="H78" s="215"/>
      <c r="R78" s="248"/>
      <c r="U78" s="248"/>
    </row>
    <row r="79" spans="1:31" x14ac:dyDescent="0.25">
      <c r="D79" s="124" t="s">
        <v>44</v>
      </c>
      <c r="E79" s="163">
        <f t="shared" ref="E79:W79" si="20">SUM(E6:E77)</f>
        <v>408906.29000000004</v>
      </c>
      <c r="F79" s="163">
        <f t="shared" si="20"/>
        <v>58404.14</v>
      </c>
      <c r="G79" s="163">
        <f t="shared" si="20"/>
        <v>81469.509999999995</v>
      </c>
      <c r="H79" s="163">
        <f t="shared" si="20"/>
        <v>47392.22</v>
      </c>
      <c r="I79" s="163">
        <f t="shared" si="20"/>
        <v>1217.8499999999999</v>
      </c>
      <c r="J79" s="163">
        <f>SUM(J6:J77)</f>
        <v>4.04</v>
      </c>
      <c r="K79" s="298">
        <f>SUM(K6:K77)</f>
        <v>4500</v>
      </c>
      <c r="L79" s="163">
        <f t="shared" si="20"/>
        <v>1597.8999999999999</v>
      </c>
      <c r="M79" s="163">
        <f t="shared" si="20"/>
        <v>90</v>
      </c>
      <c r="N79" s="163">
        <f t="shared" si="20"/>
        <v>270.46000000000004</v>
      </c>
      <c r="O79" s="163">
        <f t="shared" si="20"/>
        <v>-19.05</v>
      </c>
      <c r="P79" s="163">
        <f t="shared" si="20"/>
        <v>0</v>
      </c>
      <c r="Q79" s="163">
        <f t="shared" si="20"/>
        <v>270.46000000000004</v>
      </c>
      <c r="R79" s="163">
        <f t="shared" si="20"/>
        <v>416586.5400000001</v>
      </c>
      <c r="S79" s="163">
        <f t="shared" si="20"/>
        <v>58674.600000000006</v>
      </c>
      <c r="T79" s="162">
        <f t="shared" si="20"/>
        <v>81450.459999999992</v>
      </c>
      <c r="U79" s="292">
        <f t="shared" si="20"/>
        <v>47662.68</v>
      </c>
      <c r="V79" s="164">
        <f t="shared" si="20"/>
        <v>245</v>
      </c>
      <c r="W79" s="164">
        <f t="shared" si="20"/>
        <v>0</v>
      </c>
      <c r="X79" s="249">
        <f t="shared" ref="X79:Y79" si="21">SUM(X6:X77)</f>
        <v>11652.99</v>
      </c>
      <c r="Y79" s="164">
        <f t="shared" si="21"/>
        <v>3378.9900000000002</v>
      </c>
      <c r="Z79" s="165"/>
      <c r="AA79" s="163">
        <f>SUM(AA6:AA77)</f>
        <v>7680.2500000000009</v>
      </c>
      <c r="AB79" s="163">
        <f>SUM(AB6:AB77)</f>
        <v>-19.05</v>
      </c>
      <c r="AC79" s="163">
        <f>SUM(AC6:AC77)</f>
        <v>270.46000000000004</v>
      </c>
    </row>
    <row r="80" spans="1:31" x14ac:dyDescent="0.25">
      <c r="Z80" s="135"/>
    </row>
    <row r="81" spans="5:27" x14ac:dyDescent="0.25">
      <c r="P81" s="286"/>
      <c r="Q81" s="287"/>
      <c r="R81" s="287"/>
      <c r="S81" s="288"/>
      <c r="T81" s="286"/>
      <c r="U81" s="289"/>
      <c r="V81" s="290"/>
      <c r="W81" s="290"/>
      <c r="X81" s="290"/>
      <c r="Y81" s="290" t="s">
        <v>139</v>
      </c>
    </row>
    <row r="82" spans="5:27" x14ac:dyDescent="0.25">
      <c r="P82" s="286"/>
      <c r="Q82" s="291"/>
      <c r="R82" s="287"/>
      <c r="S82" s="288"/>
      <c r="T82" s="286"/>
      <c r="U82" s="289"/>
      <c r="V82" s="290"/>
      <c r="W82" s="290"/>
      <c r="X82" s="290"/>
      <c r="Y82" s="290" t="s">
        <v>141</v>
      </c>
    </row>
    <row r="83" spans="5:27" x14ac:dyDescent="0.25">
      <c r="E83" s="75"/>
      <c r="L83" s="31"/>
      <c r="M83" s="31"/>
      <c r="N83" s="31"/>
      <c r="P83" s="286"/>
      <c r="Q83" s="287"/>
      <c r="R83" s="287"/>
      <c r="S83" s="288"/>
      <c r="T83" s="286"/>
      <c r="U83" s="289"/>
      <c r="V83" s="290"/>
      <c r="W83" s="290"/>
      <c r="X83" s="290"/>
      <c r="Y83" s="290" t="s">
        <v>142</v>
      </c>
    </row>
    <row r="84" spans="5:27" x14ac:dyDescent="0.25">
      <c r="P84" s="286"/>
      <c r="Q84" s="287"/>
      <c r="R84" s="287"/>
      <c r="S84" s="288"/>
      <c r="T84" s="286"/>
      <c r="U84" s="289"/>
      <c r="V84" s="290"/>
      <c r="W84" s="290"/>
      <c r="X84" s="290"/>
      <c r="Y84" s="290"/>
    </row>
    <row r="89" spans="5:27" x14ac:dyDescent="0.25">
      <c r="AA89" s="50" t="s">
        <v>138</v>
      </c>
    </row>
  </sheetData>
  <autoFilter ref="A5:AE77" xr:uid="{03E97BA6-7D59-498F-BD82-3F2C6C266A25}"/>
  <customSheetViews>
    <customSheetView guid="{70784625-D6AA-4827-8FB2-93D97FE1DFCE}" showPageBreaks="1" printArea="1" showAutoFilter="1">
      <pane xSplit="3" ySplit="5" topLeftCell="H6" activePane="bottomRight" state="frozen"/>
      <selection pane="bottomRight" activeCell="X6" sqref="X6"/>
      <rowBreaks count="2" manualBreakCount="2">
        <brk id="79" max="16383" man="1"/>
        <brk id="94" max="16383" man="1"/>
      </rowBreaks>
      <colBreaks count="1" manualBreakCount="1">
        <brk id="15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landscape" r:id="rId1"/>
      <headerFooter>
        <oddFooter>&amp;L&amp;D&amp;R&amp;P/&amp;N</oddFooter>
      </headerFooter>
      <autoFilter ref="A5:AD77" xr:uid="{00000000-0000-0000-0000-000000000000}"/>
    </customSheetView>
    <customSheetView guid="{BD5456A6-45E9-42B7-B375-15E458E94A45}" scale="86" showPageBreaks="1" printArea="1" showAutoFilter="1">
      <pane xSplit="3" ySplit="5" topLeftCell="D36" activePane="bottomRight" state="frozen"/>
      <selection pane="bottomRight" activeCell="D46" sqref="D46"/>
      <rowBreaks count="2" manualBreakCount="2">
        <brk id="79" max="16383" man="1"/>
        <brk id="94" max="16383" man="1"/>
      </rowBreaks>
      <colBreaks count="1" manualBreakCount="1">
        <brk id="17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landscape" r:id="rId2"/>
      <headerFooter>
        <oddFooter>&amp;L&amp;D&amp;R&amp;P/&amp;N</oddFooter>
      </headerFooter>
      <autoFilter ref="A5:AD77" xr:uid="{00000000-0000-0000-0000-000000000000}"/>
    </customSheetView>
    <customSheetView guid="{F34D93BB-303C-41D4-86BF-175561CF63A4}" scale="86" showPageBreaks="1" printArea="1" showAutoFilter="1">
      <pane xSplit="3" ySplit="5" topLeftCell="P27" activePane="bottomRight" state="frozen"/>
      <selection pane="bottomRight" activeCell="AC32" sqref="AC32"/>
      <rowBreaks count="1" manualBreakCount="1">
        <brk id="106" max="16383" man="1"/>
      </rowBreaks>
      <colBreaks count="1" manualBreakCount="1">
        <brk id="14" max="1048575" man="1"/>
      </colBreaks>
      <pageMargins left="0.59055118110236227" right="0.51181102362204722" top="0.51181102362204722" bottom="0.59055118110236227" header="0.31496062992125984" footer="0.31496062992125984"/>
      <pageSetup paperSize="9" scale="70" orientation="landscape" r:id="rId3"/>
      <headerFooter>
        <oddFooter>&amp;L&amp;D&amp;R&amp;P/&amp;N</oddFooter>
      </headerFooter>
      <autoFilter ref="A5:AG77" xr:uid="{00000000-0000-0000-0000-000000000000}"/>
    </customSheetView>
    <customSheetView guid="{E469200E-E45B-48BF-9EDA-B3574152690B}" scale="86" showPageBreaks="1" printArea="1" showAutoFilter="1">
      <pane xSplit="3" ySplit="5" topLeftCell="M6" activePane="bottomRight" state="frozen"/>
      <selection pane="bottomRight" activeCell="AC1" sqref="AC1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4"/>
      <headerFooter>
        <oddFooter>&amp;L&amp;D&amp;R&amp;P/&amp;N</oddFooter>
      </headerFooter>
      <autoFilter ref="A5:AH77" xr:uid="{00000000-0000-0000-0000-000000000000}"/>
    </customSheetView>
    <customSheetView guid="{985903A9-9AC0-4EEF-B3E6-551C22113BEE}" scale="80" showPageBreaks="1">
      <pane xSplit="3" ySplit="5" topLeftCell="H32" activePane="bottomRight" state="frozen"/>
      <selection pane="bottomRight" activeCell="AB50" sqref="AB50"/>
      <pageMargins left="0.57999999999999996" right="0.51" top="0.5" bottom="0.59055118110236227" header="0.31496062992125984" footer="0.31496062992125984"/>
      <pageSetup paperSize="9" scale="75" orientation="portrait" r:id="rId5"/>
      <headerFooter>
        <oddFooter>&amp;L&amp;D&amp;R&amp;P/&amp;N</oddFooter>
      </headerFooter>
    </customSheetView>
    <customSheetView guid="{F9CC7C0A-8455-4B23-89B8-6EAC226AC099}" scale="80" showPageBreaks="1" showAutoFilter="1">
      <pane xSplit="3" ySplit="5" topLeftCell="W19" activePane="bottomRight" state="frozen"/>
      <selection pane="bottomRight" activeCell="AK28" sqref="AK28"/>
      <pageMargins left="0.57999999999999996" right="0.51" top="0.5" bottom="0.59055118110236227" header="0.31496062992125984" footer="0.31496062992125984"/>
      <pageSetup paperSize="9" scale="75" orientation="portrait" r:id="rId6"/>
      <headerFooter>
        <oddFooter>&amp;L&amp;D&amp;R&amp;P/&amp;N</oddFooter>
      </headerFooter>
      <autoFilter ref="A5:AI88" xr:uid="{00000000-0000-0000-0000-000000000000}"/>
    </customSheetView>
    <customSheetView guid="{C5553868-B1BC-42AA-B251-130824B1493F}" scale="90" showAutoFilter="1">
      <pane xSplit="3" ySplit="5" topLeftCell="D87" activePane="bottomRight" state="frozen"/>
      <selection pane="bottomRight" activeCell="K17" sqref="K17"/>
      <pageMargins left="0.57999999999999996" right="0.51" top="0.5" bottom="0.59055118110236227" header="0.31496062992125984" footer="0.31496062992125984"/>
      <pageSetup paperSize="9" scale="75" orientation="portrait" r:id="rId7"/>
      <headerFooter>
        <oddFooter>&amp;L&amp;D&amp;R&amp;P/&amp;N</oddFooter>
      </headerFooter>
      <autoFilter ref="A5:Z93" xr:uid="{00000000-0000-0000-0000-000000000000}"/>
    </customSheetView>
    <customSheetView guid="{7CC1FA3A-895C-48F2-A941-ABE1E0AA99FD}" scale="80">
      <pane xSplit="3" ySplit="5" topLeftCell="D45" activePane="bottomRight" state="frozen"/>
      <selection pane="bottomRight" activeCell="P61" sqref="P61"/>
      <pageMargins left="0.57999999999999996" right="0.51" top="0.5" bottom="0.59055118110236227" header="0.31496062992125984" footer="0.31496062992125984"/>
      <pageSetup paperSize="9" scale="75" orientation="portrait" r:id="rId8"/>
      <headerFooter>
        <oddFooter>&amp;L&amp;D&amp;R&amp;P/&amp;N</oddFooter>
      </headerFooter>
    </customSheetView>
    <customSheetView guid="{1DB03DC3-DD52-49CD-8072-4B719410EDF4}" scale="80">
      <pane xSplit="3" ySplit="5" topLeftCell="D93" activePane="bottomRight" state="frozen"/>
      <selection pane="bottomRight" activeCell="K110" sqref="K110"/>
      <pageMargins left="0.57999999999999996" right="0.51" top="0.5" bottom="0.59055118110236227" header="0.31496062992125984" footer="0.31496062992125984"/>
      <pageSetup paperSize="9" scale="75" orientation="portrait" r:id="rId9"/>
      <headerFooter>
        <oddFooter>&amp;L&amp;D&amp;R&amp;P/&amp;N</oddFooter>
      </headerFooter>
    </customSheetView>
    <customSheetView guid="{BD206193-A9CB-4FB5-800C-FE0571FD5AED}" scale="80" showPageBreaks="1">
      <pane xSplit="3" ySplit="5" topLeftCell="O6" activePane="bottomRight" state="frozen"/>
      <selection pane="bottomRight" activeCell="AQ12" sqref="AQ12"/>
      <rowBreaks count="1" manualBreakCount="1">
        <brk id="29" max="16383" man="1"/>
      </rowBreaks>
      <colBreaks count="1" manualBreakCount="1">
        <brk id="21" max="1048575" man="1"/>
      </colBreaks>
      <pageMargins left="0.23622047244094491" right="0.23622047244094491" top="0.19685039370078741" bottom="0.15748031496062992" header="0.15748031496062992" footer="0.15748031496062992"/>
      <pageSetup paperSize="9" scale="64" orientation="landscape" r:id="rId10"/>
      <headerFooter>
        <oddFooter>&amp;L&amp;D&amp;R&amp;P/&amp;N</oddFooter>
      </headerFooter>
    </customSheetView>
    <customSheetView guid="{B5644001-46E8-4A6D-8484-E9B7B1F663C6}" scale="86" printArea="1" showAutoFilter="1">
      <pane xSplit="3" ySplit="5" topLeftCell="D66" activePane="bottomRight" state="frozen"/>
      <selection pane="bottomRight" activeCell="D3" sqref="D3:G3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11"/>
      <headerFooter>
        <oddFooter>&amp;L&amp;D&amp;R&amp;P/&amp;N</oddFooter>
      </headerFooter>
      <autoFilter ref="A5:AF77" xr:uid="{00000000-0000-0000-0000-000000000000}"/>
    </customSheetView>
    <customSheetView guid="{BD2ABD2E-5B85-4A66-8C4D-5AC8420C2B3B}" scale="86" showPageBreaks="1" printArea="1" showAutoFilter="1">
      <pane xSplit="3" ySplit="5" topLeftCell="D70" activePane="bottomRight" state="frozen"/>
      <selection pane="bottomRight" activeCell="L15" sqref="L15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12"/>
      <headerFooter>
        <oddFooter>&amp;L&amp;D&amp;R&amp;P/&amp;N</oddFooter>
      </headerFooter>
      <autoFilter ref="A5:AB77" xr:uid="{00000000-0000-0000-0000-000000000000}"/>
    </customSheetView>
    <customSheetView guid="{15764750-8AF9-45DF-9450-B30F8151D6AB}" scale="86" showPageBreaks="1" printArea="1" showAutoFilter="1">
      <pane xSplit="4" ySplit="5" topLeftCell="E27" activePane="bottomRight" state="frozen"/>
      <selection pane="bottomRight" activeCell="M32" sqref="M32"/>
      <rowBreaks count="2" manualBreakCount="2">
        <brk id="79" max="16383" man="1"/>
        <brk id="94" max="16383" man="1"/>
      </rowBreaks>
      <colBreaks count="1" manualBreakCount="1">
        <brk id="17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portrait" r:id="rId13"/>
      <headerFooter>
        <oddFooter>&amp;L&amp;D&amp;R&amp;P/&amp;N</oddFooter>
      </headerFooter>
      <autoFilter ref="A5:AE77" xr:uid="{00000000-0000-0000-0000-000000000000}"/>
    </customSheetView>
    <customSheetView guid="{B56BB743-ACD1-4F1C-A4EC-86D4E390A4F0}" scale="86" showPageBreaks="1" printArea="1" showAutoFilter="1">
      <pane xSplit="3" ySplit="5" topLeftCell="D6" activePane="bottomRight" state="frozen"/>
      <selection pane="bottomRight" activeCell="J8" sqref="J8"/>
      <rowBreaks count="1" manualBreakCount="1">
        <brk id="106" max="16383" man="1"/>
      </rowBreaks>
      <colBreaks count="1" manualBreakCount="1">
        <brk id="14" max="1048575" man="1"/>
      </colBreaks>
      <pageMargins left="0.59055118110236227" right="0.51181102362204722" top="0.51181102362204722" bottom="0.59055118110236227" header="0.31496062992125984" footer="0.31496062992125984"/>
      <pageSetup paperSize="9" scale="70" orientation="landscape" r:id="rId14"/>
      <headerFooter>
        <oddFooter>&amp;L&amp;D&amp;R&amp;P/&amp;N</oddFooter>
      </headerFooter>
      <autoFilter ref="A5:AE77" xr:uid="{00000000-0000-0000-0000-000000000000}"/>
    </customSheetView>
    <customSheetView guid="{ECA95C7A-EFD8-4EC4-85A2-34F63C8C25EF}" scale="90" showPageBreaks="1" printArea="1" showAutoFilter="1" hiddenColumns="1">
      <pane xSplit="4" ySplit="5" topLeftCell="I6" activePane="bottomRight" state="frozen"/>
      <selection pane="bottomRight" activeCell="Q5" sqref="Q5"/>
      <rowBreaks count="2" manualBreakCount="2">
        <brk id="79" max="16383" man="1"/>
        <brk id="94" max="16383" man="1"/>
      </rowBreaks>
      <colBreaks count="1" manualBreakCount="1">
        <brk id="17" max="1048575" man="1"/>
      </colBreaks>
      <pageMargins left="0.59055118110236227" right="0.36" top="0.35433070866141736" bottom="0.51181102362204722" header="0.31496062992125984" footer="0.27559055118110237"/>
      <pageSetup paperSize="9" scale="75" orientation="landscape" r:id="rId15"/>
      <headerFooter>
        <oddFooter>&amp;L&amp;D&amp;R&amp;P/&amp;N</oddFooter>
      </headerFooter>
      <autoFilter ref="A5:AE77" xr:uid="{00000000-0000-0000-0000-000000000000}"/>
    </customSheetView>
  </customSheetViews>
  <mergeCells count="1">
    <mergeCell ref="E3:H3"/>
  </mergeCells>
  <pageMargins left="0.59055118110236227" right="0.35433070866141736" top="0.47" bottom="0.51181102362204722" header="0.31496062992125984" footer="0.27559055118110237"/>
  <pageSetup paperSize="9" scale="75" orientation="landscape" r:id="rId16"/>
  <headerFooter>
    <oddHeader>&amp;Rtab. 3.a</oddHeader>
    <oddFooter>&amp;L&amp;D&amp;R&amp;P/&amp;N</oddFooter>
  </headerFooter>
  <rowBreaks count="2" manualBreakCount="2">
    <brk id="79" max="16383" man="1"/>
    <brk id="94" max="16383" man="1"/>
  </rowBreaks>
  <colBreaks count="1" manualBreakCount="1">
    <brk id="17" max="1048575" man="1"/>
  </colBreaks>
  <legacyDrawing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8"/>
  <sheetViews>
    <sheetView zoomScale="90" zoomScaleNormal="90" workbookViewId="0">
      <selection activeCell="E5" sqref="E5"/>
    </sheetView>
  </sheetViews>
  <sheetFormatPr defaultRowHeight="15" x14ac:dyDescent="0.25"/>
  <cols>
    <col min="1" max="1" width="5.28515625" customWidth="1"/>
    <col min="2" max="2" width="29.7109375" customWidth="1"/>
    <col min="3" max="3" width="10.28515625" customWidth="1"/>
    <col min="4" max="4" width="12.28515625" customWidth="1"/>
    <col min="6" max="6" width="12.85546875" customWidth="1"/>
    <col min="7" max="7" width="13.5703125" customWidth="1"/>
    <col min="9" max="9" width="2.7109375" customWidth="1"/>
    <col min="10" max="10" width="9.7109375" customWidth="1"/>
    <col min="12" max="12" width="9.7109375" customWidth="1"/>
    <col min="13" max="13" width="12.85546875" customWidth="1"/>
  </cols>
  <sheetData>
    <row r="1" spans="1:14" x14ac:dyDescent="0.25">
      <c r="A1" s="7" t="s">
        <v>78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9"/>
    </row>
    <row r="2" spans="1:14" ht="15.75" x14ac:dyDescent="0.25">
      <c r="A2" s="36" t="s">
        <v>136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10" t="s">
        <v>46</v>
      </c>
    </row>
    <row r="3" spans="1:14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thickBot="1" x14ac:dyDescent="0.3">
      <c r="A4" s="11" t="s">
        <v>131</v>
      </c>
      <c r="B4" s="8"/>
      <c r="C4" s="8"/>
      <c r="D4" s="8"/>
      <c r="E4" s="8"/>
      <c r="F4" s="8"/>
      <c r="G4" s="8"/>
      <c r="H4" s="8"/>
      <c r="I4" s="8"/>
      <c r="J4" s="11" t="s">
        <v>51</v>
      </c>
      <c r="K4" s="8"/>
      <c r="L4" s="8"/>
      <c r="M4" s="8"/>
      <c r="N4" s="8"/>
    </row>
    <row r="5" spans="1:14" ht="51" x14ac:dyDescent="0.25">
      <c r="A5" s="45" t="s">
        <v>84</v>
      </c>
      <c r="B5" s="12"/>
      <c r="C5" s="13" t="s">
        <v>52</v>
      </c>
      <c r="D5" s="14" t="s">
        <v>83</v>
      </c>
      <c r="E5" s="14" t="s">
        <v>74</v>
      </c>
      <c r="F5" s="14" t="s">
        <v>145</v>
      </c>
      <c r="G5" s="14" t="s">
        <v>146</v>
      </c>
      <c r="H5" s="15" t="s">
        <v>53</v>
      </c>
      <c r="I5" s="16"/>
      <c r="J5" s="13" t="s">
        <v>54</v>
      </c>
      <c r="K5" s="14" t="s">
        <v>55</v>
      </c>
      <c r="L5" s="14" t="s">
        <v>129</v>
      </c>
      <c r="M5" s="14" t="s">
        <v>156</v>
      </c>
      <c r="N5" s="15" t="s">
        <v>79</v>
      </c>
    </row>
    <row r="6" spans="1:14" ht="26.25" x14ac:dyDescent="0.25">
      <c r="A6" s="240" t="s">
        <v>147</v>
      </c>
      <c r="B6" s="17" t="s">
        <v>118</v>
      </c>
      <c r="C6" s="241">
        <f>'ukazatele PO 2021'!I79+'ukazatele PO 2021'!J79</f>
        <v>1221.8899999999999</v>
      </c>
      <c r="D6" s="242">
        <f>-C6-E6+J7</f>
        <v>-1202.8399999999999</v>
      </c>
      <c r="E6" s="243">
        <f>'ukazatele PO 2021'!O79</f>
        <v>-19.05</v>
      </c>
      <c r="F6" s="79"/>
      <c r="G6" s="79"/>
      <c r="H6" s="80"/>
      <c r="I6" s="81"/>
      <c r="J6" s="281"/>
      <c r="K6" s="79"/>
      <c r="L6" s="79"/>
      <c r="M6" s="359"/>
      <c r="N6" s="80"/>
    </row>
    <row r="7" spans="1:14" x14ac:dyDescent="0.25">
      <c r="A7" s="240" t="s">
        <v>148</v>
      </c>
      <c r="B7" s="329" t="s">
        <v>134</v>
      </c>
      <c r="C7" s="77">
        <f>'ukazatele PO 2021'!K79</f>
        <v>4500</v>
      </c>
      <c r="D7" s="78">
        <f>-C7</f>
        <v>-4500</v>
      </c>
      <c r="E7" s="79"/>
      <c r="F7" s="243"/>
      <c r="G7" s="243"/>
      <c r="H7" s="244"/>
      <c r="I7" s="245"/>
      <c r="J7" s="246"/>
      <c r="K7" s="243"/>
      <c r="L7" s="243"/>
      <c r="M7" s="360"/>
      <c r="N7" s="244"/>
    </row>
    <row r="8" spans="1:14" x14ac:dyDescent="0.25">
      <c r="A8" s="37" t="s">
        <v>149</v>
      </c>
      <c r="B8" s="330" t="s">
        <v>135</v>
      </c>
      <c r="C8" s="77">
        <f>'ukazatele PO 2021'!L79</f>
        <v>1597.8999999999999</v>
      </c>
      <c r="D8" s="321">
        <f>-C8</f>
        <v>-1597.8999999999999</v>
      </c>
      <c r="E8" s="79"/>
      <c r="F8" s="243"/>
      <c r="G8" s="243"/>
      <c r="H8" s="244"/>
      <c r="I8" s="245"/>
      <c r="J8" s="246"/>
      <c r="K8" s="243"/>
      <c r="L8" s="243"/>
      <c r="M8" s="360"/>
      <c r="N8" s="244"/>
    </row>
    <row r="9" spans="1:14" x14ac:dyDescent="0.25">
      <c r="A9" s="37" t="s">
        <v>150</v>
      </c>
      <c r="B9" s="331" t="s">
        <v>151</v>
      </c>
      <c r="C9" s="83">
        <f>'ukazatele PO 2021'!M79</f>
        <v>90</v>
      </c>
      <c r="D9" s="321">
        <f>-C9</f>
        <v>-90</v>
      </c>
      <c r="E9" s="79"/>
      <c r="F9" s="243"/>
      <c r="G9" s="243"/>
      <c r="H9" s="244"/>
      <c r="I9" s="245"/>
      <c r="J9" s="246"/>
      <c r="K9" s="243"/>
      <c r="L9" s="243"/>
      <c r="M9" s="360"/>
      <c r="N9" s="244"/>
    </row>
    <row r="10" spans="1:14" x14ac:dyDescent="0.25">
      <c r="A10" s="37" t="s">
        <v>152</v>
      </c>
      <c r="B10" s="330" t="s">
        <v>144</v>
      </c>
      <c r="C10" s="83">
        <f>'ukazatele PO 2021'!N79</f>
        <v>270.46000000000004</v>
      </c>
      <c r="D10" s="78">
        <f>C10-J10</f>
        <v>0</v>
      </c>
      <c r="E10" s="84"/>
      <c r="F10" s="84"/>
      <c r="G10" s="79"/>
      <c r="H10" s="80"/>
      <c r="I10" s="81"/>
      <c r="J10" s="82">
        <f>'ukazatele PO 2021'!Q79</f>
        <v>270.46000000000004</v>
      </c>
      <c r="K10" s="79"/>
      <c r="L10" s="79"/>
      <c r="M10" s="359"/>
      <c r="N10" s="80"/>
    </row>
    <row r="11" spans="1:14" x14ac:dyDescent="0.25">
      <c r="A11" s="37" t="s">
        <v>153</v>
      </c>
      <c r="B11" s="331" t="s">
        <v>155</v>
      </c>
      <c r="C11" s="82"/>
      <c r="D11" s="321"/>
      <c r="E11" s="86"/>
      <c r="F11" s="363">
        <v>13199.471519999999</v>
      </c>
      <c r="G11" s="310">
        <v>3777.9740000000002</v>
      </c>
      <c r="H11" s="87"/>
      <c r="I11" s="81"/>
      <c r="J11" s="85"/>
      <c r="K11" s="86"/>
      <c r="L11" s="310"/>
      <c r="M11" s="362">
        <f>F11+G11</f>
        <v>16977.445520000001</v>
      </c>
      <c r="N11" s="87"/>
    </row>
    <row r="12" spans="1:14" x14ac:dyDescent="0.25">
      <c r="A12" s="37" t="s">
        <v>154</v>
      </c>
      <c r="B12" s="60" t="s">
        <v>108</v>
      </c>
      <c r="C12" s="85">
        <v>0</v>
      </c>
      <c r="D12" s="86">
        <v>0</v>
      </c>
      <c r="E12" s="86"/>
      <c r="F12" s="86"/>
      <c r="G12" s="86"/>
      <c r="H12" s="87"/>
      <c r="I12" s="81"/>
      <c r="J12" s="85"/>
      <c r="K12" s="86"/>
      <c r="L12" s="86"/>
      <c r="M12" s="361"/>
      <c r="N12" s="87"/>
    </row>
    <row r="13" spans="1:14" ht="15.75" thickBot="1" x14ac:dyDescent="0.3">
      <c r="A13" s="18"/>
      <c r="B13" s="19" t="s">
        <v>44</v>
      </c>
      <c r="C13" s="88">
        <f>SUM(C6:C12)</f>
        <v>7680.2499999999991</v>
      </c>
      <c r="D13" s="299">
        <f>SUM(D6:D12)</f>
        <v>-7390.74</v>
      </c>
      <c r="E13" s="89">
        <f>SUM(E6:E12)</f>
        <v>-19.05</v>
      </c>
      <c r="F13" s="299">
        <f t="shared" ref="F13:N13" si="0">SUM(F6:F12)</f>
        <v>13199.471519999999</v>
      </c>
      <c r="G13" s="89">
        <f t="shared" si="0"/>
        <v>3777.9740000000002</v>
      </c>
      <c r="H13" s="90">
        <f t="shared" si="0"/>
        <v>0</v>
      </c>
      <c r="I13" s="81"/>
      <c r="J13" s="88">
        <f t="shared" si="0"/>
        <v>270.46000000000004</v>
      </c>
      <c r="K13" s="89">
        <f t="shared" si="0"/>
        <v>0</v>
      </c>
      <c r="L13" s="299">
        <f t="shared" si="0"/>
        <v>0</v>
      </c>
      <c r="M13" s="299">
        <f t="shared" si="0"/>
        <v>16977.445520000001</v>
      </c>
      <c r="N13" s="90">
        <f t="shared" si="0"/>
        <v>0</v>
      </c>
    </row>
    <row r="14" spans="1:14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 x14ac:dyDescent="0.25">
      <c r="A15" s="8"/>
      <c r="B15" s="20" t="s">
        <v>56</v>
      </c>
      <c r="C15" s="8"/>
      <c r="D15" s="8"/>
      <c r="E15" s="21" t="s">
        <v>57</v>
      </c>
      <c r="F15" s="21"/>
      <c r="G15" s="311">
        <f>SUM(C13:H13)</f>
        <v>17247.90552</v>
      </c>
      <c r="H15" s="22" t="s">
        <v>58</v>
      </c>
      <c r="I15" s="8"/>
      <c r="J15" s="8"/>
      <c r="K15" s="21" t="s">
        <v>59</v>
      </c>
      <c r="M15" s="311">
        <f>SUM(J13:N13)</f>
        <v>17247.90552</v>
      </c>
      <c r="N15" s="22" t="s">
        <v>58</v>
      </c>
    </row>
    <row r="16" spans="1:14" x14ac:dyDescent="0.25">
      <c r="A16" s="23"/>
      <c r="B16" s="23"/>
      <c r="C16" s="23"/>
      <c r="D16" s="8"/>
      <c r="E16" s="21"/>
      <c r="F16" s="23"/>
      <c r="G16" s="24"/>
      <c r="H16" s="22"/>
      <c r="I16" s="23"/>
      <c r="J16" s="23"/>
      <c r="K16" s="23"/>
      <c r="L16" s="23"/>
      <c r="M16" s="23"/>
      <c r="N16" s="44"/>
    </row>
    <row r="17" spans="1:14" x14ac:dyDescent="0.25">
      <c r="A17" s="23"/>
      <c r="B17" s="23"/>
      <c r="C17" s="23"/>
      <c r="D17" s="23"/>
      <c r="E17" s="23"/>
      <c r="F17" s="23"/>
      <c r="G17" s="25"/>
      <c r="H17" s="22"/>
      <c r="I17" s="23"/>
      <c r="J17" s="23"/>
      <c r="K17" s="23"/>
      <c r="L17" s="23"/>
      <c r="M17" s="23"/>
      <c r="N17" s="23"/>
    </row>
    <row r="18" spans="1:14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</row>
    <row r="19" spans="1:14" x14ac:dyDescent="0.25">
      <c r="A19" s="23"/>
      <c r="B19" s="5" t="s">
        <v>60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1:14" x14ac:dyDescent="0.25">
      <c r="A20" s="23"/>
      <c r="B20" s="23" t="s">
        <v>61</v>
      </c>
      <c r="C20" s="23"/>
      <c r="D20" s="137">
        <f>C13</f>
        <v>7680.2499999999991</v>
      </c>
      <c r="E20" s="26" t="s">
        <v>58</v>
      </c>
      <c r="F20" s="23"/>
      <c r="G20" s="23"/>
      <c r="H20" s="23"/>
      <c r="I20" s="23"/>
      <c r="J20" s="23"/>
      <c r="K20" s="23"/>
      <c r="L20" s="23"/>
      <c r="M20" s="23"/>
      <c r="N20" s="23"/>
    </row>
    <row r="21" spans="1:14" x14ac:dyDescent="0.25">
      <c r="A21" s="23"/>
      <c r="B21" s="23" t="s">
        <v>97</v>
      </c>
      <c r="C21" s="23"/>
      <c r="D21" s="137">
        <f>E13</f>
        <v>-19.05</v>
      </c>
      <c r="E21" s="26" t="s">
        <v>58</v>
      </c>
      <c r="F21" s="23"/>
      <c r="G21" s="23"/>
      <c r="H21" s="23"/>
      <c r="I21" s="23"/>
      <c r="J21" s="23"/>
      <c r="K21" s="23"/>
      <c r="L21" s="23"/>
      <c r="M21" s="23"/>
      <c r="N21" s="23"/>
    </row>
    <row r="22" spans="1:14" x14ac:dyDescent="0.25">
      <c r="A22" s="23"/>
      <c r="B22" s="23" t="s">
        <v>62</v>
      </c>
      <c r="C22" s="23"/>
      <c r="D22" s="301">
        <f>D13</f>
        <v>-7390.74</v>
      </c>
      <c r="E22" s="26" t="s">
        <v>58</v>
      </c>
      <c r="F22" s="23"/>
      <c r="G22" s="23"/>
      <c r="H22" s="23"/>
      <c r="I22" s="23"/>
      <c r="J22" s="23"/>
      <c r="K22" s="23"/>
      <c r="L22" s="23"/>
      <c r="M22" s="23"/>
      <c r="N22" s="23"/>
    </row>
    <row r="23" spans="1:14" x14ac:dyDescent="0.25">
      <c r="A23" s="23"/>
      <c r="B23" s="23"/>
      <c r="C23" s="23"/>
      <c r="D23" s="137"/>
      <c r="E23" s="26"/>
      <c r="F23" s="23"/>
      <c r="G23" s="23"/>
      <c r="H23" s="23"/>
      <c r="I23" s="23"/>
      <c r="J23" s="23"/>
      <c r="K23" s="23"/>
      <c r="L23" s="23"/>
      <c r="M23" s="23"/>
      <c r="N23" s="23"/>
    </row>
    <row r="24" spans="1:14" x14ac:dyDescent="0.25">
      <c r="A24" s="23"/>
      <c r="B24" s="23"/>
      <c r="C24" s="23"/>
      <c r="D24" s="137"/>
      <c r="E24" s="26"/>
      <c r="F24" s="23"/>
      <c r="G24" s="23"/>
      <c r="H24" s="23"/>
      <c r="I24" s="23"/>
      <c r="J24" s="23"/>
      <c r="K24" s="23"/>
      <c r="L24" s="23"/>
      <c r="M24" s="23"/>
      <c r="N24" s="23"/>
    </row>
    <row r="25" spans="1:14" x14ac:dyDescent="0.25">
      <c r="A25" s="23"/>
      <c r="B25" s="23" t="s">
        <v>96</v>
      </c>
      <c r="C25" s="23"/>
      <c r="D25" s="137">
        <f>J13</f>
        <v>270.46000000000004</v>
      </c>
      <c r="E25" s="26" t="s">
        <v>58</v>
      </c>
      <c r="F25" s="23"/>
      <c r="G25" s="23"/>
      <c r="H25" s="23"/>
      <c r="I25" s="23"/>
      <c r="J25" s="23"/>
      <c r="K25" s="23"/>
      <c r="L25" s="23"/>
      <c r="M25" s="23"/>
      <c r="N25" s="23"/>
    </row>
    <row r="26" spans="1:14" x14ac:dyDescent="0.25">
      <c r="A26" s="23"/>
      <c r="B26" s="27" t="s">
        <v>63</v>
      </c>
      <c r="C26" s="23"/>
      <c r="D26" s="137">
        <f>K13</f>
        <v>0</v>
      </c>
      <c r="E26" s="26" t="s">
        <v>58</v>
      </c>
      <c r="F26" s="23"/>
      <c r="G26" s="23"/>
      <c r="H26" s="23"/>
      <c r="I26" s="23"/>
      <c r="J26" s="23"/>
      <c r="K26" s="23"/>
      <c r="L26" s="23"/>
      <c r="M26" s="23"/>
      <c r="N26" s="23"/>
    </row>
    <row r="27" spans="1:14" x14ac:dyDescent="0.25">
      <c r="A27" s="23"/>
      <c r="B27" s="27" t="s">
        <v>130</v>
      </c>
      <c r="D27" s="300">
        <f>L13</f>
        <v>0</v>
      </c>
      <c r="E27" s="26" t="s">
        <v>58</v>
      </c>
      <c r="F27" s="23"/>
      <c r="G27" s="23"/>
      <c r="H27" s="23"/>
      <c r="I27" s="23"/>
      <c r="J27" s="23"/>
      <c r="K27" s="23"/>
      <c r="L27" s="23"/>
      <c r="M27" s="23"/>
      <c r="N27" s="23"/>
    </row>
    <row r="28" spans="1:14" x14ac:dyDescent="0.25">
      <c r="A28" s="23"/>
      <c r="B28" s="27" t="s">
        <v>64</v>
      </c>
      <c r="C28" s="23"/>
      <c r="D28" s="137">
        <f>N13</f>
        <v>0</v>
      </c>
      <c r="E28" s="26" t="s">
        <v>58</v>
      </c>
      <c r="F28" s="23"/>
      <c r="G28" s="23"/>
      <c r="H28" s="23"/>
      <c r="I28" s="23"/>
      <c r="J28" s="23"/>
      <c r="K28" s="23"/>
      <c r="L28" s="23"/>
      <c r="M28" s="23"/>
      <c r="N28" s="23"/>
    </row>
  </sheetData>
  <customSheetViews>
    <customSheetView guid="{70784625-D6AA-4827-8FB2-93D97FE1DFCE}" scale="90">
      <selection activeCell="A2" sqref="A2"/>
      <pageMargins left="0.70866141732283472" right="0.70866141732283472" top="0.78740157480314965" bottom="0.78740157480314965" header="0.31496062992125984" footer="0.31496062992125984"/>
      <pageSetup paperSize="9" scale="90" orientation="landscape" r:id="rId1"/>
    </customSheetView>
    <customSheetView guid="{BD5456A6-45E9-42B7-B375-15E458E94A45}" scale="90">
      <selection activeCell="D9" sqref="D9"/>
      <pageMargins left="0.70866141732283472" right="0.70866141732283472" top="0.78740157480314965" bottom="0.78740157480314965" header="0.31496062992125984" footer="0.31496062992125984"/>
      <pageSetup paperSize="9" scale="90" orientation="landscape" r:id="rId2"/>
    </customSheetView>
    <customSheetView guid="{F34D93BB-303C-41D4-86BF-175561CF63A4}">
      <selection activeCell="A3" sqref="A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3"/>
    </customSheetView>
    <customSheetView guid="{E469200E-E45B-48BF-9EDA-B3574152690B}">
      <selection activeCell="J13" sqref="J1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4"/>
    </customSheetView>
    <customSheetView guid="{985903A9-9AC0-4EEF-B3E6-551C22113BEE}" topLeftCell="A4">
      <selection activeCell="C6" sqref="C6"/>
      <pageMargins left="0.7" right="0.7" top="0.78740157499999996" bottom="0.78740157499999996" header="0.3" footer="0.3"/>
    </customSheetView>
    <customSheetView guid="{F9CC7C0A-8455-4B23-89B8-6EAC226AC099}">
      <selection activeCell="M16" sqref="M16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5"/>
    </customSheetView>
    <customSheetView guid="{C5553868-B1BC-42AA-B251-130824B1493F}" topLeftCell="A4">
      <selection activeCell="C6" sqref="C6"/>
      <pageMargins left="0.7" right="0.7" top="0.78740157499999996" bottom="0.78740157499999996" header="0.3" footer="0.3"/>
    </customSheetView>
    <customSheetView guid="{7CC1FA3A-895C-48F2-A941-ABE1E0AA99FD}" topLeftCell="A4">
      <selection activeCell="C6" sqref="C6"/>
      <pageMargins left="0.7" right="0.7" top="0.78740157499999996" bottom="0.78740157499999996" header="0.3" footer="0.3"/>
    </customSheetView>
    <customSheetView guid="{1DB03DC3-DD52-49CD-8072-4B719410EDF4}" topLeftCell="A4">
      <selection activeCell="C6" sqref="C6"/>
      <pageMargins left="0.7" right="0.7" top="0.78740157499999996" bottom="0.78740157499999996" header="0.3" footer="0.3"/>
    </customSheetView>
    <customSheetView guid="{BD206193-A9CB-4FB5-800C-FE0571FD5AED}" topLeftCell="A4">
      <selection activeCell="C6" sqref="C6"/>
      <pageMargins left="0.7" right="0.7" top="0.78740157499999996" bottom="0.78740157499999996" header="0.3" footer="0.3"/>
    </customSheetView>
    <customSheetView guid="{B5644001-46E8-4A6D-8484-E9B7B1F663C6}">
      <selection activeCell="J13" sqref="J1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6"/>
    </customSheetView>
    <customSheetView guid="{BD2ABD2E-5B85-4A66-8C4D-5AC8420C2B3B}" scale="90">
      <selection activeCell="J22" sqref="J22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7"/>
    </customSheetView>
    <customSheetView guid="{15764750-8AF9-45DF-9450-B30F8151D6AB}" scale="90">
      <selection activeCell="B9" sqref="B9"/>
      <pageMargins left="0.70866141732283472" right="0.70866141732283472" top="0.78740157480314965" bottom="0.78740157480314965" header="0.31496062992125984" footer="0.31496062992125984"/>
      <pageSetup paperSize="9" scale="90" orientation="landscape" r:id="rId8"/>
    </customSheetView>
    <customSheetView guid="{B56BB743-ACD1-4F1C-A4EC-86D4E390A4F0}" scale="90">
      <selection activeCell="B9" sqref="B9"/>
      <pageMargins left="0.70866141732283472" right="0.70866141732283472" top="0.78740157480314965" bottom="0.78740157480314965" header="0.31496062992125984" footer="0.31496062992125984"/>
      <pageSetup paperSize="9" scale="90" orientation="landscape" r:id="rId9"/>
    </customSheetView>
    <customSheetView guid="{ECA95C7A-EFD8-4EC4-85A2-34F63C8C25EF}" scale="90" showPageBreaks="1">
      <selection activeCell="M15" sqref="M15"/>
      <pageMargins left="0.70866141732283472" right="0.70866141732283472" top="0.78740157480314965" bottom="0.78740157480314965" header="0.31496062992125984" footer="0.31496062992125984"/>
      <pageSetup paperSize="9" scale="90" orientation="landscape" r:id="rId10"/>
    </customSheetView>
  </customSheetViews>
  <pageMargins left="0.27559055118110237" right="0.31496062992125984" top="0.78740157480314965" bottom="0.78740157480314965" header="0.31496062992125984" footer="0.31496062992125984"/>
  <pageSetup paperSize="9" scale="90" orientation="landscape" r:id="rId11"/>
  <headerFooter>
    <oddHeader>&amp;Rtab. 3.b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customSheetViews>
    <customSheetView guid="{70784625-D6AA-4827-8FB2-93D97FE1DFCE}">
      <pageMargins left="0.7" right="0.7" top="0.78740157499999996" bottom="0.78740157499999996" header="0.3" footer="0.3"/>
    </customSheetView>
    <customSheetView guid="{BD5456A6-45E9-42B7-B375-15E458E94A45}">
      <pageMargins left="0.7" right="0.7" top="0.78740157499999996" bottom="0.78740157499999996" header="0.3" footer="0.3"/>
    </customSheetView>
    <customSheetView guid="{F34D93BB-303C-41D4-86BF-175561CF63A4}">
      <pageMargins left="0.7" right="0.7" top="0.78740157499999996" bottom="0.78740157499999996" header="0.3" footer="0.3"/>
    </customSheetView>
    <customSheetView guid="{E469200E-E45B-48BF-9EDA-B3574152690B}">
      <pageMargins left="0.7" right="0.7" top="0.78740157499999996" bottom="0.78740157499999996" header="0.3" footer="0.3"/>
    </customSheetView>
    <customSheetView guid="{985903A9-9AC0-4EEF-B3E6-551C22113BEE}">
      <pageMargins left="0.7" right="0.7" top="0.78740157499999996" bottom="0.78740157499999996" header="0.3" footer="0.3"/>
    </customSheetView>
    <customSheetView guid="{F9CC7C0A-8455-4B23-89B8-6EAC226AC099}">
      <pageMargins left="0.7" right="0.7" top="0.78740157499999996" bottom="0.78740157499999996" header="0.3" footer="0.3"/>
    </customSheetView>
    <customSheetView guid="{C5553868-B1BC-42AA-B251-130824B1493F}">
      <pageMargins left="0.7" right="0.7" top="0.78740157499999996" bottom="0.78740157499999996" header="0.3" footer="0.3"/>
    </customSheetView>
    <customSheetView guid="{7CC1FA3A-895C-48F2-A941-ABE1E0AA99FD}">
      <pageMargins left="0.7" right="0.7" top="0.78740157499999996" bottom="0.78740157499999996" header="0.3" footer="0.3"/>
    </customSheetView>
    <customSheetView guid="{1DB03DC3-DD52-49CD-8072-4B719410EDF4}">
      <pageMargins left="0.7" right="0.7" top="0.78740157499999996" bottom="0.78740157499999996" header="0.3" footer="0.3"/>
    </customSheetView>
    <customSheetView guid="{BD206193-A9CB-4FB5-800C-FE0571FD5AED}">
      <pageMargins left="0.7" right="0.7" top="0.78740157499999996" bottom="0.78740157499999996" header="0.3" footer="0.3"/>
    </customSheetView>
    <customSheetView guid="{B5644001-46E8-4A6D-8484-E9B7B1F663C6}">
      <pageMargins left="0.7" right="0.7" top="0.78740157499999996" bottom="0.78740157499999996" header="0.3" footer="0.3"/>
    </customSheetView>
    <customSheetView guid="{BD2ABD2E-5B85-4A66-8C4D-5AC8420C2B3B}">
      <pageMargins left="0.7" right="0.7" top="0.78740157499999996" bottom="0.78740157499999996" header="0.3" footer="0.3"/>
    </customSheetView>
    <customSheetView guid="{15764750-8AF9-45DF-9450-B30F8151D6AB}">
      <pageMargins left="0.7" right="0.7" top="0.78740157499999996" bottom="0.78740157499999996" header="0.3" footer="0.3"/>
    </customSheetView>
    <customSheetView guid="{B56BB743-ACD1-4F1C-A4EC-86D4E390A4F0}">
      <pageMargins left="0.7" right="0.7" top="0.78740157499999996" bottom="0.78740157499999996" header="0.3" footer="0.3"/>
    </customSheetView>
    <customSheetView guid="{ECA95C7A-EFD8-4EC4-85A2-34F63C8C25EF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ukazatele PO 2021</vt:lpstr>
      <vt:lpstr>rekapitulace</vt:lpstr>
      <vt:lpstr>List3</vt:lpstr>
      <vt:lpstr>'ukazatele PO 2021'!Názvy_tisku</vt:lpstr>
      <vt:lpstr>'ukazatele PO 2021'!Oblast_tisku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2021-10-06T14:29:54Z</cp:lastPrinted>
  <dcterms:created xsi:type="dcterms:W3CDTF">2013-10-25T08:04:02Z</dcterms:created>
  <dcterms:modified xsi:type="dcterms:W3CDTF">2021-10-21T12:16:38Z</dcterms:modified>
</cp:coreProperties>
</file>